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FP ZA 2023\"/>
    </mc:Choice>
  </mc:AlternateContent>
  <xr:revisionPtr revIDLastSave="0" documentId="13_ncr:1_{4E255D2D-B726-4ED9-8601-B98885E9F6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nica" sheetId="11" r:id="rId1"/>
    <sheet name="SAŽETAK" sheetId="1" r:id="rId2"/>
    <sheet name=" Račun prihoda i rashoda" sheetId="3" r:id="rId3"/>
    <sheet name="POSEBNI DIO" sheetId="7" r:id="rId4"/>
    <sheet name="Rashodi prema funkcijskoj" sheetId="8" r:id="rId5"/>
  </sheets>
  <definedNames>
    <definedName name="_xlnm._FilterDatabase" localSheetId="3" hidden="1">'POSEBNI DIO'!$A$7:$L$147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3" l="1"/>
  <c r="L40" i="3"/>
  <c r="K39" i="3"/>
  <c r="I39" i="3"/>
  <c r="L79" i="3"/>
  <c r="J79" i="3"/>
  <c r="I79" i="3"/>
  <c r="L10" i="3"/>
  <c r="K12" i="3"/>
  <c r="K10" i="3"/>
  <c r="J10" i="3"/>
  <c r="J18" i="3"/>
  <c r="J17" i="3"/>
  <c r="J20" i="3"/>
  <c r="J19" i="3"/>
  <c r="J27" i="3"/>
  <c r="J28" i="3"/>
  <c r="J26" i="3"/>
  <c r="J25" i="3"/>
  <c r="J24" i="3"/>
  <c r="J23" i="3"/>
  <c r="N11" i="1"/>
  <c r="M10" i="1"/>
  <c r="L11" i="1"/>
  <c r="L8" i="1"/>
  <c r="J11" i="1"/>
  <c r="J8" i="1"/>
  <c r="L27" i="7"/>
  <c r="K27" i="7"/>
  <c r="K6" i="7" s="1"/>
  <c r="J6" i="7"/>
  <c r="J28" i="7"/>
  <c r="L28" i="7"/>
  <c r="K28" i="7"/>
  <c r="L14" i="1" l="1"/>
  <c r="J23" i="7"/>
  <c r="J7" i="7"/>
  <c r="F27" i="1" l="1"/>
  <c r="H27" i="1"/>
  <c r="J14" i="1"/>
  <c r="I14" i="1"/>
  <c r="H14" i="1"/>
  <c r="I11" i="1"/>
  <c r="G39" i="3"/>
  <c r="H39" i="3" s="1"/>
  <c r="G79" i="3"/>
  <c r="F39" i="3"/>
  <c r="H78" i="3"/>
  <c r="K86" i="3"/>
  <c r="L86" i="3" s="1"/>
  <c r="J86" i="3"/>
  <c r="H86" i="3"/>
  <c r="F86" i="3"/>
  <c r="H48" i="3"/>
  <c r="H47" i="3"/>
  <c r="H46" i="3"/>
  <c r="H45" i="3"/>
  <c r="H44" i="3"/>
  <c r="H43" i="3"/>
  <c r="H42" i="3"/>
  <c r="E13" i="8"/>
  <c r="E12" i="8"/>
  <c r="E11" i="8"/>
  <c r="G6" i="7"/>
  <c r="G7" i="7"/>
  <c r="G138" i="7"/>
  <c r="G27" i="7"/>
  <c r="G112" i="7"/>
  <c r="H112" i="7" s="1"/>
  <c r="G103" i="7"/>
  <c r="G113" i="7"/>
  <c r="H113" i="7" s="1"/>
  <c r="G108" i="7"/>
  <c r="H116" i="7"/>
  <c r="H115" i="7"/>
  <c r="H114" i="7"/>
  <c r="H111" i="7"/>
  <c r="H110" i="7"/>
  <c r="H109" i="7"/>
  <c r="I114" i="7"/>
  <c r="F114" i="7"/>
  <c r="L113" i="7"/>
  <c r="K113" i="7"/>
  <c r="K112" i="7" s="1"/>
  <c r="J113" i="7"/>
  <c r="I113" i="7" s="1"/>
  <c r="F113" i="7"/>
  <c r="L112" i="7"/>
  <c r="F112" i="7"/>
  <c r="E112" i="7"/>
  <c r="H92" i="7"/>
  <c r="G88" i="7"/>
  <c r="H79" i="7"/>
  <c r="G77" i="7"/>
  <c r="G62" i="7" s="1"/>
  <c r="H70" i="7"/>
  <c r="F69" i="7"/>
  <c r="L69" i="7"/>
  <c r="J69" i="7"/>
  <c r="I69" i="7" s="1"/>
  <c r="H69" i="7"/>
  <c r="E69" i="7"/>
  <c r="H20" i="7"/>
  <c r="H19" i="7"/>
  <c r="H18" i="7"/>
  <c r="H17" i="7"/>
  <c r="K18" i="7"/>
  <c r="L18" i="7" s="1"/>
  <c r="K17" i="7"/>
  <c r="L17" i="7" s="1"/>
  <c r="F17" i="7"/>
  <c r="J16" i="7"/>
  <c r="I16" i="7" s="1"/>
  <c r="G16" i="7"/>
  <c r="H16" i="7" s="1"/>
  <c r="E15" i="7"/>
  <c r="F15" i="7" s="1"/>
  <c r="F14" i="7" s="1"/>
  <c r="H39" i="7"/>
  <c r="H38" i="7"/>
  <c r="H36" i="7"/>
  <c r="G34" i="7"/>
  <c r="H34" i="7" s="1"/>
  <c r="G29" i="7"/>
  <c r="G64" i="7"/>
  <c r="H68" i="7"/>
  <c r="J112" i="7" l="1"/>
  <c r="I112" i="7" s="1"/>
  <c r="K69" i="7"/>
  <c r="E14" i="7"/>
  <c r="K16" i="7"/>
  <c r="L16" i="7" s="1"/>
  <c r="J15" i="7"/>
  <c r="I15" i="7" s="1"/>
  <c r="G15" i="7"/>
  <c r="K15" i="7" l="1"/>
  <c r="L15" i="7" s="1"/>
  <c r="J14" i="7"/>
  <c r="I14" i="7" s="1"/>
  <c r="G14" i="7"/>
  <c r="H14" i="7" s="1"/>
  <c r="H15" i="7"/>
  <c r="K14" i="7" l="1"/>
  <c r="L14" i="7" s="1"/>
  <c r="J27" i="1" l="1"/>
  <c r="I8" i="1"/>
  <c r="H13" i="1"/>
  <c r="H12" i="1"/>
  <c r="H11" i="1"/>
  <c r="H10" i="1"/>
  <c r="H8" i="1"/>
  <c r="H9" i="1"/>
  <c r="G10" i="3" l="1"/>
  <c r="G31" i="3"/>
  <c r="G15" i="3"/>
  <c r="G24" i="7"/>
  <c r="F26" i="1" l="1"/>
  <c r="G11" i="1"/>
  <c r="F11" i="1" s="1"/>
  <c r="G8" i="1"/>
  <c r="F8" i="1" s="1"/>
  <c r="F13" i="1"/>
  <c r="F12" i="1"/>
  <c r="E10" i="3"/>
  <c r="F10" i="1"/>
  <c r="F9" i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E26" i="3"/>
  <c r="E31" i="3"/>
  <c r="F78" i="3"/>
  <c r="F40" i="3"/>
  <c r="E49" i="3"/>
  <c r="F48" i="3"/>
  <c r="F47" i="3"/>
  <c r="F46" i="3"/>
  <c r="E41" i="3"/>
  <c r="F68" i="7"/>
  <c r="F66" i="7"/>
  <c r="F65" i="7"/>
  <c r="E77" i="7"/>
  <c r="E23" i="7"/>
  <c r="I125" i="7"/>
  <c r="H125" i="7"/>
  <c r="F125" i="7"/>
  <c r="I124" i="7"/>
  <c r="H124" i="7"/>
  <c r="F124" i="7"/>
  <c r="L123" i="7"/>
  <c r="L122" i="7" s="1"/>
  <c r="K123" i="7"/>
  <c r="K122" i="7" s="1"/>
  <c r="J123" i="7"/>
  <c r="I123" i="7" s="1"/>
  <c r="H122" i="7"/>
  <c r="F122" i="7"/>
  <c r="E122" i="7"/>
  <c r="K121" i="7"/>
  <c r="L121" i="7" s="1"/>
  <c r="I121" i="7"/>
  <c r="H121" i="7"/>
  <c r="F121" i="7"/>
  <c r="F118" i="7" s="1"/>
  <c r="K120" i="7"/>
  <c r="L120" i="7" s="1"/>
  <c r="I120" i="7"/>
  <c r="H120" i="7"/>
  <c r="F120" i="7"/>
  <c r="J119" i="7"/>
  <c r="I119" i="7" s="1"/>
  <c r="I118" i="7" s="1"/>
  <c r="G118" i="7"/>
  <c r="H118" i="7" s="1"/>
  <c r="E119" i="7"/>
  <c r="F119" i="7" s="1"/>
  <c r="E118" i="7"/>
  <c r="G128" i="7"/>
  <c r="H128" i="7" s="1"/>
  <c r="H129" i="7"/>
  <c r="E130" i="7"/>
  <c r="F130" i="7" s="1"/>
  <c r="H130" i="7"/>
  <c r="I130" i="7"/>
  <c r="I131" i="7" s="1"/>
  <c r="F131" i="7"/>
  <c r="H131" i="7"/>
  <c r="E132" i="7"/>
  <c r="F132" i="7" s="1"/>
  <c r="H132" i="7"/>
  <c r="E45" i="7"/>
  <c r="F52" i="7"/>
  <c r="F51" i="7"/>
  <c r="E50" i="7"/>
  <c r="F50" i="7" s="1"/>
  <c r="G50" i="7"/>
  <c r="H53" i="7"/>
  <c r="H52" i="7"/>
  <c r="H51" i="7"/>
  <c r="F141" i="7"/>
  <c r="F145" i="7"/>
  <c r="E145" i="7"/>
  <c r="F147" i="7"/>
  <c r="F111" i="7"/>
  <c r="F110" i="7"/>
  <c r="F109" i="7"/>
  <c r="F108" i="7" s="1"/>
  <c r="F107" i="7"/>
  <c r="F106" i="7"/>
  <c r="E108" i="7"/>
  <c r="E94" i="7"/>
  <c r="F97" i="7"/>
  <c r="F96" i="7"/>
  <c r="E95" i="7"/>
  <c r="F95" i="7" s="1"/>
  <c r="F92" i="7"/>
  <c r="F79" i="7"/>
  <c r="F78" i="7"/>
  <c r="E64" i="7"/>
  <c r="E63" i="7" s="1"/>
  <c r="F40" i="7"/>
  <c r="F39" i="7"/>
  <c r="F38" i="7"/>
  <c r="F37" i="7"/>
  <c r="F36" i="7"/>
  <c r="E34" i="7"/>
  <c r="F34" i="7" s="1"/>
  <c r="F10" i="7"/>
  <c r="O13" i="1"/>
  <c r="O12" i="1"/>
  <c r="O11" i="1"/>
  <c r="O10" i="1"/>
  <c r="O9" i="1"/>
  <c r="N8" i="1"/>
  <c r="M13" i="1"/>
  <c r="M12" i="1"/>
  <c r="M11" i="1"/>
  <c r="M9" i="1"/>
  <c r="K13" i="1"/>
  <c r="K12" i="1"/>
  <c r="K9" i="1"/>
  <c r="K11" i="1"/>
  <c r="K10" i="1"/>
  <c r="K8" i="1"/>
  <c r="K34" i="7"/>
  <c r="J34" i="7"/>
  <c r="I34" i="7"/>
  <c r="H32" i="7"/>
  <c r="J29" i="7"/>
  <c r="I29" i="7" s="1"/>
  <c r="M8" i="1" l="1"/>
  <c r="M14" i="1" s="1"/>
  <c r="O8" i="1"/>
  <c r="O14" i="1" s="1"/>
  <c r="N14" i="1"/>
  <c r="K14" i="1"/>
  <c r="E62" i="7"/>
  <c r="F62" i="7" s="1"/>
  <c r="E28" i="7"/>
  <c r="F28" i="7" s="1"/>
  <c r="F64" i="7"/>
  <c r="F63" i="7" s="1"/>
  <c r="G14" i="1"/>
  <c r="F14" i="1" s="1"/>
  <c r="H119" i="7"/>
  <c r="G117" i="7"/>
  <c r="H117" i="7" s="1"/>
  <c r="K119" i="7"/>
  <c r="L119" i="7" s="1"/>
  <c r="J122" i="7"/>
  <c r="I122" i="7" s="1"/>
  <c r="J118" i="7"/>
  <c r="I129" i="7"/>
  <c r="F77" i="7"/>
  <c r="E129" i="7"/>
  <c r="H50" i="7"/>
  <c r="F94" i="7"/>
  <c r="I28" i="7"/>
  <c r="I111" i="7"/>
  <c r="I110" i="7"/>
  <c r="L109" i="7"/>
  <c r="L108" i="7" s="1"/>
  <c r="K109" i="7"/>
  <c r="K108" i="7" s="1"/>
  <c r="J109" i="7"/>
  <c r="K107" i="7"/>
  <c r="L107" i="7" s="1"/>
  <c r="I107" i="7"/>
  <c r="H107" i="7"/>
  <c r="K106" i="7"/>
  <c r="L106" i="7" s="1"/>
  <c r="I106" i="7"/>
  <c r="H106" i="7"/>
  <c r="J105" i="7"/>
  <c r="K105" i="7" s="1"/>
  <c r="L105" i="7" s="1"/>
  <c r="H105" i="7"/>
  <c r="E105" i="7"/>
  <c r="F105" i="7" s="1"/>
  <c r="E104" i="7"/>
  <c r="E103" i="7" s="1"/>
  <c r="H83" i="7"/>
  <c r="I83" i="7"/>
  <c r="K83" i="7"/>
  <c r="L83" i="7" s="1"/>
  <c r="K84" i="7"/>
  <c r="L84" i="7" s="1"/>
  <c r="I84" i="7"/>
  <c r="H84" i="7"/>
  <c r="J82" i="7"/>
  <c r="I82" i="7" s="1"/>
  <c r="H82" i="7"/>
  <c r="I65" i="7"/>
  <c r="H40" i="7"/>
  <c r="H37" i="7"/>
  <c r="H35" i="7"/>
  <c r="J12" i="7"/>
  <c r="I65" i="3" s="1"/>
  <c r="I66" i="3" s="1"/>
  <c r="J66" i="3" s="1"/>
  <c r="K66" i="3" s="1"/>
  <c r="L66" i="3" s="1"/>
  <c r="K11" i="7"/>
  <c r="L11" i="7" s="1"/>
  <c r="J9" i="7"/>
  <c r="J8" i="7" s="1"/>
  <c r="K8" i="7" s="1"/>
  <c r="L8" i="7" s="1"/>
  <c r="H12" i="7"/>
  <c r="H11" i="7"/>
  <c r="H10" i="7"/>
  <c r="F12" i="7"/>
  <c r="F84" i="3"/>
  <c r="F85" i="3"/>
  <c r="F67" i="3"/>
  <c r="F68" i="3"/>
  <c r="F70" i="3"/>
  <c r="F71" i="3"/>
  <c r="F72" i="3"/>
  <c r="F73" i="3"/>
  <c r="F74" i="3"/>
  <c r="F75" i="3"/>
  <c r="E80" i="3"/>
  <c r="F76" i="3"/>
  <c r="E65" i="3"/>
  <c r="F65" i="3" s="1"/>
  <c r="E63" i="3"/>
  <c r="E64" i="3" s="1"/>
  <c r="F64" i="3" s="1"/>
  <c r="E61" i="3"/>
  <c r="E62" i="3" s="1"/>
  <c r="F62" i="3" s="1"/>
  <c r="E59" i="3"/>
  <c r="F59" i="3" s="1"/>
  <c r="E57" i="3"/>
  <c r="F57" i="3" s="1"/>
  <c r="E51" i="3"/>
  <c r="F44" i="3"/>
  <c r="F42" i="3"/>
  <c r="I13" i="3"/>
  <c r="I14" i="3"/>
  <c r="K14" i="3" s="1"/>
  <c r="L14" i="3" s="1"/>
  <c r="I15" i="3"/>
  <c r="I16" i="3"/>
  <c r="K16" i="3" s="1"/>
  <c r="L16" i="3" s="1"/>
  <c r="K19" i="3"/>
  <c r="L19" i="3" s="1"/>
  <c r="K20" i="3"/>
  <c r="L20" i="3" s="1"/>
  <c r="K21" i="3"/>
  <c r="L21" i="3" s="1"/>
  <c r="I22" i="3"/>
  <c r="K22" i="3" s="1"/>
  <c r="L22" i="3" s="1"/>
  <c r="K23" i="3"/>
  <c r="L23" i="3" s="1"/>
  <c r="K24" i="3"/>
  <c r="L24" i="3" s="1"/>
  <c r="K25" i="3"/>
  <c r="L25" i="3" s="1"/>
  <c r="K26" i="3"/>
  <c r="L26" i="3" s="1"/>
  <c r="L27" i="3"/>
  <c r="L28" i="3"/>
  <c r="I29" i="3"/>
  <c r="K29" i="3" s="1"/>
  <c r="L29" i="3" s="1"/>
  <c r="I30" i="3"/>
  <c r="K30" i="3" s="1"/>
  <c r="L30" i="3" s="1"/>
  <c r="I31" i="3"/>
  <c r="L31" i="3" s="1"/>
  <c r="I34" i="3"/>
  <c r="L34" i="3" s="1"/>
  <c r="H11" i="3"/>
  <c r="H13" i="3"/>
  <c r="H14" i="3"/>
  <c r="H15" i="3"/>
  <c r="H19" i="3"/>
  <c r="H21" i="3"/>
  <c r="H29" i="3"/>
  <c r="H30" i="3"/>
  <c r="H33" i="3"/>
  <c r="H34" i="3"/>
  <c r="H31" i="3"/>
  <c r="G28" i="3"/>
  <c r="H28" i="3" s="1"/>
  <c r="H25" i="3"/>
  <c r="H23" i="3"/>
  <c r="G22" i="3"/>
  <c r="H22" i="3" s="1"/>
  <c r="G20" i="3"/>
  <c r="H20" i="3" s="1"/>
  <c r="G18" i="3"/>
  <c r="H18" i="3" s="1"/>
  <c r="H16" i="3"/>
  <c r="G12" i="3"/>
  <c r="H12" i="3" s="1"/>
  <c r="E30" i="3"/>
  <c r="E28" i="3"/>
  <c r="E19" i="3"/>
  <c r="E14" i="3"/>
  <c r="G143" i="7"/>
  <c r="J61" i="3"/>
  <c r="K61" i="3" s="1"/>
  <c r="L61" i="3" s="1"/>
  <c r="J62" i="3"/>
  <c r="K62" i="3" s="1"/>
  <c r="L62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J75" i="3"/>
  <c r="K75" i="3" s="1"/>
  <c r="J84" i="3"/>
  <c r="J85" i="3"/>
  <c r="I57" i="3"/>
  <c r="J57" i="3" s="1"/>
  <c r="K57" i="3" s="1"/>
  <c r="L57" i="3" s="1"/>
  <c r="I44" i="3"/>
  <c r="I45" i="3" s="1"/>
  <c r="J45" i="3" s="1"/>
  <c r="K45" i="3" s="1"/>
  <c r="L45" i="3" s="1"/>
  <c r="J42" i="3"/>
  <c r="K42" i="3" s="1"/>
  <c r="L42" i="3" s="1"/>
  <c r="I40" i="3"/>
  <c r="K133" i="7"/>
  <c r="K134" i="7"/>
  <c r="K96" i="7"/>
  <c r="L96" i="7" s="1"/>
  <c r="K97" i="7"/>
  <c r="L97" i="7" s="1"/>
  <c r="J95" i="7"/>
  <c r="K95" i="7" s="1"/>
  <c r="L95" i="7" s="1"/>
  <c r="K90" i="7"/>
  <c r="L90" i="7" s="1"/>
  <c r="K91" i="7"/>
  <c r="L91" i="7" s="1"/>
  <c r="K65" i="7"/>
  <c r="L65" i="7" s="1"/>
  <c r="K66" i="7"/>
  <c r="L66" i="7" s="1"/>
  <c r="K67" i="7"/>
  <c r="L67" i="7" s="1"/>
  <c r="K78" i="7"/>
  <c r="I67" i="3"/>
  <c r="J67" i="3" s="1"/>
  <c r="K67" i="3" s="1"/>
  <c r="L67" i="3" s="1"/>
  <c r="E39" i="3" l="1"/>
  <c r="F51" i="3"/>
  <c r="E50" i="3"/>
  <c r="F50" i="3" s="1"/>
  <c r="F80" i="3"/>
  <c r="E79" i="3"/>
  <c r="F79" i="3" s="1"/>
  <c r="J117" i="7"/>
  <c r="K118" i="7"/>
  <c r="L118" i="7" s="1"/>
  <c r="E128" i="7"/>
  <c r="F129" i="7"/>
  <c r="F128" i="7" s="1"/>
  <c r="J104" i="7"/>
  <c r="K104" i="7" s="1"/>
  <c r="L104" i="7" s="1"/>
  <c r="I109" i="7"/>
  <c r="J108" i="7"/>
  <c r="I108" i="7" s="1"/>
  <c r="G104" i="7"/>
  <c r="H104" i="7" s="1"/>
  <c r="H17" i="3"/>
  <c r="E34" i="3"/>
  <c r="K15" i="3"/>
  <c r="L15" i="3" s="1"/>
  <c r="H103" i="7"/>
  <c r="I105" i="7"/>
  <c r="I104" i="7" s="1"/>
  <c r="H108" i="7"/>
  <c r="G81" i="7"/>
  <c r="J81" i="7"/>
  <c r="K82" i="7"/>
  <c r="L82" i="7" s="1"/>
  <c r="E81" i="7"/>
  <c r="J94" i="7"/>
  <c r="E52" i="3"/>
  <c r="F52" i="3" s="1"/>
  <c r="E83" i="3"/>
  <c r="F83" i="3" s="1"/>
  <c r="F41" i="3"/>
  <c r="F63" i="3"/>
  <c r="K135" i="7"/>
  <c r="L135" i="7" s="1"/>
  <c r="L134" i="7"/>
  <c r="K12" i="7"/>
  <c r="L12" i="7" s="1"/>
  <c r="E43" i="3"/>
  <c r="F43" i="3" s="1"/>
  <c r="E58" i="3"/>
  <c r="F58" i="3" s="1"/>
  <c r="E66" i="3"/>
  <c r="F66" i="3" s="1"/>
  <c r="F61" i="3"/>
  <c r="F49" i="3"/>
  <c r="K10" i="7"/>
  <c r="L10" i="7" s="1"/>
  <c r="E18" i="3"/>
  <c r="F18" i="3" s="1"/>
  <c r="K13" i="3"/>
  <c r="L13" i="3" s="1"/>
  <c r="F45" i="3"/>
  <c r="E60" i="3"/>
  <c r="F60" i="3" s="1"/>
  <c r="E77" i="3"/>
  <c r="F77" i="3" s="1"/>
  <c r="F82" i="3"/>
  <c r="K9" i="7"/>
  <c r="L9" i="7" s="1"/>
  <c r="I63" i="3"/>
  <c r="I64" i="3" s="1"/>
  <c r="J64" i="3" s="1"/>
  <c r="K64" i="3" s="1"/>
  <c r="L64" i="3" s="1"/>
  <c r="E81" i="3"/>
  <c r="F81" i="3" s="1"/>
  <c r="H26" i="3"/>
  <c r="G24" i="3"/>
  <c r="H24" i="3" s="1"/>
  <c r="H27" i="3"/>
  <c r="H10" i="3"/>
  <c r="I58" i="3"/>
  <c r="J65" i="3"/>
  <c r="K65" i="3" s="1"/>
  <c r="L65" i="3" s="1"/>
  <c r="J44" i="3"/>
  <c r="K44" i="3" s="1"/>
  <c r="L44" i="3" s="1"/>
  <c r="J41" i="3"/>
  <c r="K41" i="3" s="1"/>
  <c r="L41" i="3" s="1"/>
  <c r="I68" i="3"/>
  <c r="J68" i="3" s="1"/>
  <c r="K68" i="3" s="1"/>
  <c r="L68" i="3" s="1"/>
  <c r="J40" i="3"/>
  <c r="K40" i="3" s="1"/>
  <c r="J43" i="3"/>
  <c r="K43" i="3" s="1"/>
  <c r="L43" i="3" s="1"/>
  <c r="I9" i="7"/>
  <c r="I8" i="7" s="1"/>
  <c r="I117" i="7" l="1"/>
  <c r="K117" i="7"/>
  <c r="L117" i="7" s="1"/>
  <c r="J103" i="7"/>
  <c r="K103" i="7" s="1"/>
  <c r="L103" i="7" s="1"/>
  <c r="K94" i="7"/>
  <c r="L94" i="7" s="1"/>
  <c r="J58" i="3"/>
  <c r="K58" i="3" s="1"/>
  <c r="L58" i="3" s="1"/>
  <c r="F10" i="3"/>
  <c r="F81" i="7"/>
  <c r="H81" i="7"/>
  <c r="G80" i="7"/>
  <c r="H80" i="7" s="1"/>
  <c r="I81" i="7"/>
  <c r="J80" i="7"/>
  <c r="K81" i="7"/>
  <c r="L81" i="7" s="1"/>
  <c r="J63" i="3"/>
  <c r="K63" i="3" s="1"/>
  <c r="L63" i="3" s="1"/>
  <c r="I103" i="7" l="1"/>
  <c r="K80" i="7"/>
  <c r="L80" i="7" s="1"/>
  <c r="J82" i="3"/>
  <c r="J83" i="3"/>
  <c r="K142" i="7"/>
  <c r="L142" i="7" s="1"/>
  <c r="L77" i="7"/>
  <c r="I96" i="7"/>
  <c r="I97" i="7"/>
  <c r="I91" i="7"/>
  <c r="I67" i="7"/>
  <c r="K141" i="7"/>
  <c r="L141" i="7" s="1"/>
  <c r="J89" i="7"/>
  <c r="I90" i="7"/>
  <c r="I66" i="7"/>
  <c r="I95" i="7"/>
  <c r="I94" i="7" s="1"/>
  <c r="J77" i="7"/>
  <c r="I77" i="3" s="1"/>
  <c r="K25" i="7" l="1"/>
  <c r="L25" i="7" s="1"/>
  <c r="I49" i="3"/>
  <c r="I77" i="7"/>
  <c r="I78" i="7" s="1"/>
  <c r="K77" i="7"/>
  <c r="K26" i="7"/>
  <c r="L26" i="7" s="1"/>
  <c r="I51" i="3"/>
  <c r="I101" i="7"/>
  <c r="J99" i="7"/>
  <c r="I99" i="7" s="1"/>
  <c r="J88" i="7"/>
  <c r="I88" i="7" s="1"/>
  <c r="K89" i="7"/>
  <c r="L89" i="7" s="1"/>
  <c r="J24" i="7"/>
  <c r="I24" i="7" s="1"/>
  <c r="K99" i="7"/>
  <c r="K98" i="7" s="1"/>
  <c r="J64" i="7"/>
  <c r="J63" i="7" s="1"/>
  <c r="I100" i="7"/>
  <c r="I89" i="7"/>
  <c r="J140" i="7"/>
  <c r="L99" i="7"/>
  <c r="I63" i="7" l="1"/>
  <c r="J62" i="7"/>
  <c r="J98" i="7"/>
  <c r="J77" i="3"/>
  <c r="L77" i="3" s="1"/>
  <c r="J76" i="3"/>
  <c r="L76" i="3" s="1"/>
  <c r="J87" i="7"/>
  <c r="L88" i="7"/>
  <c r="L87" i="7" s="1"/>
  <c r="K88" i="7"/>
  <c r="J59" i="3"/>
  <c r="K59" i="3" s="1"/>
  <c r="L59" i="3" s="1"/>
  <c r="J39" i="3"/>
  <c r="I80" i="3"/>
  <c r="J138" i="7"/>
  <c r="J139" i="7" s="1"/>
  <c r="I64" i="7"/>
  <c r="K64" i="7"/>
  <c r="L64" i="7" s="1"/>
  <c r="J50" i="3"/>
  <c r="K50" i="3" s="1"/>
  <c r="L50" i="3" s="1"/>
  <c r="J49" i="3"/>
  <c r="K49" i="3" s="1"/>
  <c r="L49" i="3" s="1"/>
  <c r="K24" i="7"/>
  <c r="L24" i="7" s="1"/>
  <c r="J51" i="3"/>
  <c r="K51" i="3" s="1"/>
  <c r="L51" i="3" s="1"/>
  <c r="I52" i="3"/>
  <c r="J52" i="3" s="1"/>
  <c r="K52" i="3" s="1"/>
  <c r="L52" i="3" s="1"/>
  <c r="K63" i="7"/>
  <c r="L63" i="7" s="1"/>
  <c r="K140" i="7"/>
  <c r="I140" i="7"/>
  <c r="I139" i="7" s="1"/>
  <c r="I138" i="7" s="1"/>
  <c r="L98" i="7"/>
  <c r="J27" i="7" l="1"/>
  <c r="I98" i="7"/>
  <c r="J93" i="7"/>
  <c r="J60" i="3"/>
  <c r="K60" i="3" s="1"/>
  <c r="L60" i="3" s="1"/>
  <c r="K23" i="7"/>
  <c r="L23" i="7" s="1"/>
  <c r="I23" i="7"/>
  <c r="J22" i="7"/>
  <c r="J80" i="3"/>
  <c r="K80" i="3" s="1"/>
  <c r="L80" i="3" s="1"/>
  <c r="I81" i="3"/>
  <c r="J81" i="3" s="1"/>
  <c r="K81" i="3" s="1"/>
  <c r="L81" i="3" s="1"/>
  <c r="L140" i="7"/>
  <c r="L138" i="7" s="1"/>
  <c r="L139" i="7" s="1"/>
  <c r="K138" i="7"/>
  <c r="K139" i="7" s="1"/>
  <c r="K87" i="7"/>
  <c r="I87" i="7"/>
  <c r="I141" i="7"/>
  <c r="I142" i="7" s="1"/>
  <c r="I27" i="7" l="1"/>
  <c r="I93" i="7"/>
  <c r="K22" i="7"/>
  <c r="I22" i="7"/>
  <c r="I7" i="7" s="1"/>
  <c r="K93" i="7"/>
  <c r="L93" i="7" s="1"/>
  <c r="I62" i="7"/>
  <c r="K62" i="7"/>
  <c r="L62" i="7" s="1"/>
  <c r="H61" i="3"/>
  <c r="H62" i="3"/>
  <c r="H65" i="3"/>
  <c r="H66" i="3"/>
  <c r="H67" i="3"/>
  <c r="H76" i="3"/>
  <c r="H79" i="3"/>
  <c r="H80" i="3"/>
  <c r="H82" i="3"/>
  <c r="H84" i="3"/>
  <c r="G44" i="3"/>
  <c r="G45" i="3" s="1"/>
  <c r="G41" i="3"/>
  <c r="H41" i="3" s="1"/>
  <c r="G83" i="3"/>
  <c r="H83" i="3" s="1"/>
  <c r="G85" i="3"/>
  <c r="H85" i="3" s="1"/>
  <c r="G81" i="3"/>
  <c r="H81" i="3" s="1"/>
  <c r="H77" i="3"/>
  <c r="H75" i="3"/>
  <c r="G71" i="3"/>
  <c r="H71" i="3" s="1"/>
  <c r="G68" i="3"/>
  <c r="H68" i="3" s="1"/>
  <c r="H64" i="3"/>
  <c r="G57" i="3"/>
  <c r="G58" i="3" s="1"/>
  <c r="H58" i="3" s="1"/>
  <c r="G51" i="3"/>
  <c r="G52" i="3" s="1"/>
  <c r="H52" i="3" s="1"/>
  <c r="G50" i="3"/>
  <c r="G49" i="3" s="1"/>
  <c r="H49" i="3" s="1"/>
  <c r="H145" i="7"/>
  <c r="G146" i="7"/>
  <c r="G147" i="7" s="1"/>
  <c r="H147" i="7" s="1"/>
  <c r="H144" i="7"/>
  <c r="F144" i="7"/>
  <c r="F143" i="7" s="1"/>
  <c r="E144" i="7"/>
  <c r="E143" i="7" s="1"/>
  <c r="H143" i="7"/>
  <c r="H138" i="7"/>
  <c r="H25" i="7"/>
  <c r="H26" i="7"/>
  <c r="H27" i="7"/>
  <c r="H30" i="7"/>
  <c r="H31" i="7"/>
  <c r="H46" i="7"/>
  <c r="H47" i="7"/>
  <c r="H48" i="7"/>
  <c r="H59" i="7"/>
  <c r="H61" i="7"/>
  <c r="H65" i="7"/>
  <c r="H66" i="7"/>
  <c r="H67" i="7"/>
  <c r="H77" i="7"/>
  <c r="H78" i="7"/>
  <c r="H90" i="7"/>
  <c r="H91" i="7"/>
  <c r="H96" i="7"/>
  <c r="H97" i="7"/>
  <c r="H100" i="7"/>
  <c r="H101" i="7"/>
  <c r="H136" i="7"/>
  <c r="H137" i="7"/>
  <c r="H139" i="7"/>
  <c r="G9" i="7"/>
  <c r="G8" i="7" s="1"/>
  <c r="G140" i="7"/>
  <c r="H140" i="7" s="1"/>
  <c r="G133" i="7"/>
  <c r="H133" i="7" s="1"/>
  <c r="G98" i="7"/>
  <c r="H98" i="7" s="1"/>
  <c r="G95" i="7"/>
  <c r="H95" i="7" s="1"/>
  <c r="G63" i="7"/>
  <c r="H29" i="7"/>
  <c r="G45" i="7"/>
  <c r="G28" i="7" s="1"/>
  <c r="H60" i="7"/>
  <c r="G23" i="7"/>
  <c r="E88" i="7"/>
  <c r="E87" i="7" s="1"/>
  <c r="F137" i="7"/>
  <c r="F136" i="7"/>
  <c r="E139" i="7"/>
  <c r="E138" i="7" s="1"/>
  <c r="F142" i="7"/>
  <c r="F140" i="7"/>
  <c r="F139" i="7" s="1"/>
  <c r="F138" i="7" s="1"/>
  <c r="F134" i="7"/>
  <c r="F135" i="7"/>
  <c r="F133" i="7"/>
  <c r="E98" i="7"/>
  <c r="F101" i="7"/>
  <c r="F100" i="7"/>
  <c r="F90" i="7"/>
  <c r="F91" i="7"/>
  <c r="F89" i="7"/>
  <c r="F88" i="7" s="1"/>
  <c r="F87" i="7" s="1"/>
  <c r="F67" i="7"/>
  <c r="F24" i="7"/>
  <c r="F25" i="7"/>
  <c r="F26" i="7"/>
  <c r="F23" i="7"/>
  <c r="F11" i="7"/>
  <c r="E9" i="7"/>
  <c r="F9" i="7" s="1"/>
  <c r="I6" i="7" l="1"/>
  <c r="H8" i="7"/>
  <c r="H45" i="7"/>
  <c r="H64" i="7"/>
  <c r="F80" i="7"/>
  <c r="L22" i="7"/>
  <c r="L7" i="7" s="1"/>
  <c r="K7" i="7"/>
  <c r="F22" i="7"/>
  <c r="E93" i="7"/>
  <c r="E27" i="7" s="1"/>
  <c r="F27" i="7" s="1"/>
  <c r="H50" i="3"/>
  <c r="F98" i="7"/>
  <c r="F93" i="7" s="1"/>
  <c r="G134" i="7"/>
  <c r="H134" i="7" s="1"/>
  <c r="G58" i="7"/>
  <c r="H58" i="7" s="1"/>
  <c r="G141" i="7"/>
  <c r="G142" i="7" s="1"/>
  <c r="H142" i="7" s="1"/>
  <c r="G94" i="7"/>
  <c r="H94" i="7" s="1"/>
  <c r="H73" i="3"/>
  <c r="H62" i="7"/>
  <c r="H63" i="7"/>
  <c r="G22" i="7"/>
  <c r="H22" i="7" s="1"/>
  <c r="H23" i="7"/>
  <c r="G87" i="7"/>
  <c r="H87" i="7" s="1"/>
  <c r="H88" i="7"/>
  <c r="G93" i="7"/>
  <c r="H93" i="7" s="1"/>
  <c r="H9" i="7"/>
  <c r="H146" i="7"/>
  <c r="H89" i="7"/>
  <c r="H74" i="3"/>
  <c r="E8" i="7"/>
  <c r="H24" i="7"/>
  <c r="H63" i="3"/>
  <c r="E22" i="7"/>
  <c r="H40" i="3"/>
  <c r="H70" i="3"/>
  <c r="H57" i="3"/>
  <c r="H51" i="3"/>
  <c r="H28" i="7" l="1"/>
  <c r="F8" i="7"/>
  <c r="F7" i="7" s="1"/>
  <c r="F6" i="7" s="1"/>
  <c r="E7" i="7"/>
  <c r="E6" i="7" s="1"/>
  <c r="L6" i="7"/>
  <c r="F104" i="7"/>
  <c r="F103" i="7" s="1"/>
  <c r="H72" i="3"/>
  <c r="G135" i="7"/>
  <c r="H135" i="7" s="1"/>
  <c r="H141" i="7"/>
  <c r="H6" i="7" l="1"/>
  <c r="H7" i="7"/>
  <c r="G59" i="3"/>
  <c r="H59" i="3" l="1"/>
  <c r="G60" i="3"/>
  <c r="H60" i="3" s="1"/>
  <c r="I12" i="3"/>
  <c r="L12" i="3" s="1"/>
  <c r="I10" i="3"/>
  <c r="I11" i="3"/>
  <c r="K11" i="3" s="1"/>
  <c r="L11" i="3" s="1"/>
  <c r="L33" i="3" l="1"/>
  <c r="I33" i="3"/>
</calcChain>
</file>

<file path=xl/sharedStrings.xml><?xml version="1.0" encoding="utf-8"?>
<sst xmlns="http://schemas.openxmlformats.org/spreadsheetml/2006/main" count="366" uniqueCount="155">
  <si>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</si>
  <si>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</si>
  <si>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</si>
  <si>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</si>
  <si>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</si>
  <si>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</si>
  <si>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</si>
  <si>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</si>
  <si>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</si>
  <si>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</si>
  <si>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</si>
  <si>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</si>
  <si>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</si>
  <si>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</si>
  <si>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</si>
  <si>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</si>
  <si>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</si>
  <si>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</si>
  <si>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</si>
  <si>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</si>
  <si>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</si>
  <si>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</si>
  <si>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</si>
  <si>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</si>
  <si>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</si>
  <si>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</si>
  <si>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</si>
  <si>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</si>
  <si>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</si>
  <si>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</si>
  <si>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</si>
  <si>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</si>
  <si>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</si>
  <si>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</si>
  <si>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</si>
  <si>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</si>
  <si>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</si>
  <si>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</si>
  <si>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</si>
  <si>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</si>
  <si>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</si>
  <si>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</si>
  <si>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</si>
  <si>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</si>
  <si>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</si>
  <si>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</si>
  <si>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</si>
  <si>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</si>
  <si>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</si>
  <si>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Financijski rashodi</t>
  </si>
  <si>
    <t>EUR</t>
  </si>
  <si>
    <t>KN</t>
  </si>
  <si>
    <t>T805404</t>
  </si>
  <si>
    <t xml:space="preserve">REDOVNA DJELATNOST OSNOVNOG OBRAZOVANJA </t>
  </si>
  <si>
    <t>Rashodi za zasposlene</t>
  </si>
  <si>
    <t>DEC funkcije-iznad minimalnog financijskog standarda</t>
  </si>
  <si>
    <t>A805502</t>
  </si>
  <si>
    <t>Ostali projekti u osnovnom školstvu</t>
  </si>
  <si>
    <t>Naknade građanima  (učenicima)</t>
  </si>
  <si>
    <t>A805506</t>
  </si>
  <si>
    <t>Produženi boravak</t>
  </si>
  <si>
    <t>A805523</t>
  </si>
  <si>
    <t>Stručno razvojne službe</t>
  </si>
  <si>
    <t>A805536</t>
  </si>
  <si>
    <t>Asistent u nastavi</t>
  </si>
  <si>
    <t>A805539</t>
  </si>
  <si>
    <t>Nabava školskih udžbenika</t>
  </si>
  <si>
    <t>Rashodi za nabavu proizvedene dugotrajne  imovine</t>
  </si>
  <si>
    <t>A805540</t>
  </si>
  <si>
    <t>Shema školskog voća</t>
  </si>
  <si>
    <t>A805401</t>
  </si>
  <si>
    <t>Materijalni I financijski rashodi</t>
  </si>
  <si>
    <t>Financijski  rashodi</t>
  </si>
  <si>
    <t>Kapitalno ulaganje u školstvo-minimalni standard</t>
  </si>
  <si>
    <t>K805602</t>
  </si>
  <si>
    <t>Školska oprema</t>
  </si>
  <si>
    <t>8054</t>
  </si>
  <si>
    <t>DEC funkcije-minimalni standard</t>
  </si>
  <si>
    <t xml:space="preserve">PRIHODI ZA POSEBENE NAMJENE </t>
  </si>
  <si>
    <t xml:space="preserve">MINISTARSTVO  ZNANOSTI I OBRAZOVANJA </t>
  </si>
  <si>
    <t xml:space="preserve">VLASTITI PRIHODI </t>
  </si>
  <si>
    <t>OPĆI PRIHODI I PRIMICI</t>
  </si>
  <si>
    <t>DONACIJE</t>
  </si>
  <si>
    <t>POMOĆI</t>
  </si>
  <si>
    <t>IZVOR 31</t>
  </si>
  <si>
    <t>IZVOR 49</t>
  </si>
  <si>
    <t>IZVOR 25</t>
  </si>
  <si>
    <t>IZVOR 11</t>
  </si>
  <si>
    <t>IZVOR 55</t>
  </si>
  <si>
    <t>IZVOR 44</t>
  </si>
  <si>
    <t xml:space="preserve">Rashodi za zaposlene </t>
  </si>
  <si>
    <t>IZVOR 42</t>
  </si>
  <si>
    <t xml:space="preserve">DONACIJE </t>
  </si>
  <si>
    <t>Kapitalno ulaganje u školstvo-IZNAD MIN.FIN. STANDARDA</t>
  </si>
  <si>
    <t>K8057002</t>
  </si>
  <si>
    <t>Školske zgrade</t>
  </si>
  <si>
    <t xml:space="preserve">EUR </t>
  </si>
  <si>
    <t>Pomoći iz dr.pr.za plaće te ostale rashode za zaposlene</t>
  </si>
  <si>
    <t xml:space="preserve">EU fondovi - Pomoći </t>
  </si>
  <si>
    <t>Prihodi za posebne namjene</t>
  </si>
  <si>
    <t>vlastiti prihodi</t>
  </si>
  <si>
    <t>Nakndae građanima</t>
  </si>
  <si>
    <t>Donacije</t>
  </si>
  <si>
    <t>Rashodi za nabavu dugotrajne imovine</t>
  </si>
  <si>
    <t>Plan za 2024.</t>
  </si>
  <si>
    <t>Plan za 2025.</t>
  </si>
  <si>
    <t>Pomoći iz državnog proračuna za plaće te ostale rashode za zaposlene</t>
  </si>
  <si>
    <t xml:space="preserve">Prihodi od financijske imovine </t>
  </si>
  <si>
    <t>Vlastiti prihodi</t>
  </si>
  <si>
    <t>Prihodi od prodaje proizvoda i robe te pruženih usluga</t>
  </si>
  <si>
    <t>Donacije i ostali namjenski prihodi</t>
  </si>
  <si>
    <t>Prihodi od upravnih i administivnih pristojbi</t>
  </si>
  <si>
    <t>Prihodi od nadležnog proračuna i od HZZO-a temeljem ugovornih obveza</t>
  </si>
  <si>
    <t xml:space="preserve">Opći prihodi i primici </t>
  </si>
  <si>
    <t>Učenička natjecanja osnovnih škola</t>
  </si>
  <si>
    <t>A805509</t>
  </si>
  <si>
    <t>A805537</t>
  </si>
  <si>
    <t>Sufinanciranje školskog športa</t>
  </si>
  <si>
    <t>  -&gt;fiksni tečaj konverzije 1,00 EUR = 7,53450 HRK</t>
  </si>
  <si>
    <t>09 OBRAZOVANJE</t>
  </si>
  <si>
    <t>091 Predškolsko I osnovno obrazovanje</t>
  </si>
  <si>
    <t>'Donacije i ostali namjenski prihodi</t>
  </si>
  <si>
    <t>Naknade građanima</t>
  </si>
  <si>
    <t>IZVOR 29</t>
  </si>
  <si>
    <t>Višak/manjak prihoda proračunskih korisnika</t>
  </si>
  <si>
    <t>Izvršenje 2021. EUR</t>
  </si>
  <si>
    <t>Izvršenje 2021. KN</t>
  </si>
  <si>
    <t>A805538</t>
  </si>
  <si>
    <t>Dodatna nastava</t>
  </si>
  <si>
    <t>Plan 2022. KN</t>
  </si>
  <si>
    <t>Plan 2022. EUR</t>
  </si>
  <si>
    <t>Finanancijski rashodi</t>
  </si>
  <si>
    <t>Prihodi od prodaje materijalne imovine</t>
  </si>
  <si>
    <t>Izvršenje 2021.** EUR</t>
  </si>
  <si>
    <t>Izvršenje 2021.** KN</t>
  </si>
  <si>
    <t>Plan 2022.** EUR</t>
  </si>
  <si>
    <t>Plan 2022.** KN</t>
  </si>
  <si>
    <t>Plan za 2023. EUR</t>
  </si>
  <si>
    <t>Plan za 2023. KN</t>
  </si>
  <si>
    <t>Projekcija 
za 2024. EUR</t>
  </si>
  <si>
    <t>Projekcija 
za 2024. KN</t>
  </si>
  <si>
    <t>Projekcija 
za 2025. EUR</t>
  </si>
  <si>
    <t>Projekcija 
za 2025. KN</t>
  </si>
  <si>
    <t>Tekuće I investicijsko održavanje-min. fin. Standard</t>
  </si>
  <si>
    <t>Potpora za decentr.izdatke</t>
  </si>
  <si>
    <t>805403</t>
  </si>
  <si>
    <t>Višak/manjak prihoda prorač.korisnika</t>
  </si>
  <si>
    <t>Plan 2022.EUR</t>
  </si>
  <si>
    <t>KLASA:</t>
  </si>
  <si>
    <t>URBROJ:</t>
  </si>
  <si>
    <t>FINANCIJSKI PLAN OSNOVNE ŠKOLE LAPAD
ZA 2023. I PROJEKCIJA ZA 2024. I 2025. GODINU</t>
  </si>
  <si>
    <t>FINANCIJSKIJSKI PLAN OSNOVNE ŠKOLE LAPAD
ZA 2023. I PROJEKCIJA ZA 2024. I 2025. GODINU</t>
  </si>
  <si>
    <t>400-02/22-01/15</t>
  </si>
  <si>
    <t>2117-17-01-22-1</t>
  </si>
  <si>
    <t>OSNOVNA ŠKOLA LAPAD
FINANCIJSKI PLAN ZA 2023.GODINU S PROJEKCIJAMA ZA 2024. I 2025.
Dubrovnik, 21. prosinca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</si>
</sst>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6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i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i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B3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</borders>
  <cellStyleXfs count="15">
    <xf numFmtId="0" fontId="0" fillId="0" borderId="0"/>
    <xf numFmtId="0" fontId="9" fillId="0" borderId="0"/>
    <xf numFmtId="0" fontId="21" fillId="0" borderId="0"/>
    <xf numFmtId="0" fontId="3" fillId="0" borderId="0"/>
    <xf numFmtId="0" fontId="22" fillId="0" borderId="0"/>
    <xf numFmtId="0" fontId="23" fillId="0" borderId="0"/>
    <xf numFmtId="44" fontId="23" fillId="0" borderId="0" applyFont="0" applyFill="0" applyBorder="0" applyAlignment="0" applyProtection="0"/>
    <xf numFmtId="0" fontId="26" fillId="0" borderId="0"/>
    <xf numFmtId="0" fontId="28" fillId="18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17" borderId="0" applyNumberFormat="0" applyBorder="0" applyAlignment="0" applyProtection="0"/>
    <xf numFmtId="0" fontId="27" fillId="0" borderId="0"/>
    <xf numFmtId="0" fontId="26" fillId="15" borderId="6" applyNumberFormat="0" applyAlignment="0" applyProtection="0"/>
  </cellStyleXfs>
  <cellXfs count="36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" fillId="0" borderId="0" xfId="0" applyFont="1"/>
    <xf numFmtId="0" fontId="6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/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4" fillId="4" borderId="3" xfId="0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vertical="center" wrapText="1"/>
    </xf>
    <xf numFmtId="3" fontId="38" fillId="2" borderId="4" xfId="0" applyNumberFormat="1" applyFont="1" applyFill="1" applyBorder="1" applyAlignment="1">
      <alignment horizontal="right"/>
    </xf>
    <xf numFmtId="4" fontId="38" fillId="2" borderId="3" xfId="0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>
      <alignment horizontal="right"/>
    </xf>
    <xf numFmtId="0" fontId="37" fillId="0" borderId="0" xfId="0" applyFont="1"/>
    <xf numFmtId="4" fontId="18" fillId="2" borderId="3" xfId="0" applyNumberFormat="1" applyFont="1" applyFill="1" applyBorder="1" applyAlignment="1">
      <alignment horizontal="right"/>
    </xf>
    <xf numFmtId="0" fontId="38" fillId="2" borderId="3" xfId="0" quotePrefix="1" applyFont="1" applyFill="1" applyBorder="1" applyAlignment="1">
      <alignment horizontal="left" vertical="center"/>
    </xf>
    <xf numFmtId="0" fontId="24" fillId="0" borderId="0" xfId="0" applyFont="1"/>
    <xf numFmtId="0" fontId="39" fillId="0" borderId="0" xfId="0" applyFont="1"/>
    <xf numFmtId="3" fontId="38" fillId="2" borderId="3" xfId="0" applyNumberFormat="1" applyFont="1" applyFill="1" applyBorder="1" applyAlignment="1">
      <alignment horizontal="right"/>
    </xf>
    <xf numFmtId="164" fontId="18" fillId="2" borderId="3" xfId="0" applyNumberFormat="1" applyFont="1" applyFill="1" applyBorder="1" applyAlignment="1">
      <alignment horizontal="right"/>
    </xf>
    <xf numFmtId="4" fontId="20" fillId="2" borderId="3" xfId="0" applyNumberFormat="1" applyFont="1" applyFill="1" applyBorder="1" applyAlignment="1">
      <alignment horizontal="right"/>
    </xf>
    <xf numFmtId="4" fontId="20" fillId="7" borderId="3" xfId="0" applyNumberFormat="1" applyFont="1" applyFill="1" applyBorder="1" applyAlignment="1">
      <alignment horizontal="right"/>
    </xf>
    <xf numFmtId="3" fontId="18" fillId="7" borderId="3" xfId="0" applyNumberFormat="1" applyFont="1" applyFill="1" applyBorder="1" applyAlignment="1">
      <alignment horizontal="right"/>
    </xf>
    <xf numFmtId="0" fontId="18" fillId="10" borderId="3" xfId="0" applyFont="1" applyFill="1" applyBorder="1" applyAlignment="1">
      <alignment horizontal="center"/>
    </xf>
    <xf numFmtId="3" fontId="18" fillId="10" borderId="4" xfId="0" applyNumberFormat="1" applyFont="1" applyFill="1" applyBorder="1" applyAlignment="1">
      <alignment horizontal="right"/>
    </xf>
    <xf numFmtId="4" fontId="18" fillId="10" borderId="3" xfId="0" applyNumberFormat="1" applyFont="1" applyFill="1" applyBorder="1" applyAlignment="1">
      <alignment horizontal="right"/>
    </xf>
    <xf numFmtId="164" fontId="18" fillId="10" borderId="3" xfId="0" applyNumberFormat="1" applyFont="1" applyFill="1" applyBorder="1" applyAlignment="1">
      <alignment horizontal="right"/>
    </xf>
    <xf numFmtId="4" fontId="20" fillId="10" borderId="3" xfId="0" applyNumberFormat="1" applyFont="1" applyFill="1" applyBorder="1" applyAlignment="1">
      <alignment horizontal="right"/>
    </xf>
    <xf numFmtId="3" fontId="18" fillId="10" borderId="3" xfId="0" applyNumberFormat="1" applyFont="1" applyFill="1" applyBorder="1" applyAlignment="1">
      <alignment horizontal="right"/>
    </xf>
    <xf numFmtId="164" fontId="18" fillId="12" borderId="3" xfId="0" applyNumberFormat="1" applyFont="1" applyFill="1" applyBorder="1" applyAlignment="1">
      <alignment horizontal="right"/>
    </xf>
    <xf numFmtId="4" fontId="20" fillId="12" borderId="3" xfId="0" applyNumberFormat="1" applyFont="1" applyFill="1" applyBorder="1" applyAlignment="1">
      <alignment horizontal="right"/>
    </xf>
    <xf numFmtId="3" fontId="18" fillId="12" borderId="3" xfId="0" applyNumberFormat="1" applyFont="1" applyFill="1" applyBorder="1" applyAlignment="1">
      <alignment horizontal="right"/>
    </xf>
    <xf numFmtId="3" fontId="38" fillId="12" borderId="3" xfId="0" applyNumberFormat="1" applyFont="1" applyFill="1" applyBorder="1" applyAlignment="1">
      <alignment horizontal="right"/>
    </xf>
    <xf numFmtId="3" fontId="38" fillId="10" borderId="3" xfId="0" applyNumberFormat="1" applyFont="1" applyFill="1" applyBorder="1" applyAlignment="1" applyProtection="1">
      <alignment horizontal="right" wrapText="1"/>
    </xf>
    <xf numFmtId="3" fontId="38" fillId="2" borderId="3" xfId="0" applyNumberFormat="1" applyFont="1" applyFill="1" applyBorder="1" applyAlignment="1" applyProtection="1">
      <alignment horizontal="right" wrapText="1"/>
    </xf>
    <xf numFmtId="164" fontId="24" fillId="0" borderId="0" xfId="0" applyNumberFormat="1" applyFont="1"/>
    <xf numFmtId="4" fontId="40" fillId="0" borderId="0" xfId="0" applyNumberFormat="1" applyFont="1"/>
    <xf numFmtId="4" fontId="41" fillId="2" borderId="4" xfId="0" applyNumberFormat="1" applyFont="1" applyFill="1" applyBorder="1" applyAlignment="1">
      <alignment horizontal="right"/>
    </xf>
    <xf numFmtId="4" fontId="19" fillId="14" borderId="4" xfId="0" applyNumberFormat="1" applyFont="1" applyFill="1" applyBorder="1" applyAlignment="1">
      <alignment horizontal="right"/>
    </xf>
    <xf numFmtId="4" fontId="16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4" fontId="16" fillId="14" borderId="3" xfId="0" applyNumberFormat="1" applyFont="1" applyFill="1" applyBorder="1" applyAlignment="1">
      <alignment horizontal="right"/>
    </xf>
    <xf numFmtId="3" fontId="19" fillId="14" borderId="3" xfId="0" applyNumberFormat="1" applyFont="1" applyFill="1" applyBorder="1" applyAlignment="1">
      <alignment horizontal="right"/>
    </xf>
    <xf numFmtId="0" fontId="19" fillId="0" borderId="3" xfId="0" quotePrefix="1" applyFont="1" applyBorder="1" applyAlignment="1">
      <alignment horizontal="left"/>
    </xf>
    <xf numFmtId="4" fontId="41" fillId="2" borderId="3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horizontal="right"/>
    </xf>
    <xf numFmtId="0" fontId="0" fillId="0" borderId="0" xfId="0" applyFont="1"/>
    <xf numFmtId="0" fontId="43" fillId="11" borderId="3" xfId="0" quotePrefix="1" applyFont="1" applyFill="1" applyBorder="1" applyAlignment="1">
      <alignment horizontal="right"/>
    </xf>
    <xf numFmtId="0" fontId="43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" xfId="0" applyNumberFormat="1" applyFont="1" applyBorder="1" applyAlignment="1">
      <alignment wrapText="1"/>
    </xf>
    <xf numFmtId="3" fontId="41" fillId="2" borderId="4" xfId="0" applyNumberFormat="1" applyFont="1" applyFill="1" applyBorder="1" applyAlignment="1">
      <alignment horizontal="right"/>
    </xf>
    <xf numFmtId="0" fontId="19" fillId="8" borderId="1" xfId="0" applyNumberFormat="1" applyFont="1" applyFill="1" applyBorder="1" applyAlignment="1">
      <alignment horizontal="center" wrapText="1"/>
    </xf>
    <xf numFmtId="3" fontId="19" fillId="8" borderId="4" xfId="0" applyNumberFormat="1" applyFont="1" applyFill="1" applyBorder="1" applyAlignment="1">
      <alignment horizontal="right"/>
    </xf>
    <xf numFmtId="4" fontId="16" fillId="8" borderId="3" xfId="0" applyNumberFormat="1" applyFont="1" applyFill="1" applyBorder="1" applyAlignment="1">
      <alignment horizontal="right"/>
    </xf>
    <xf numFmtId="3" fontId="19" fillId="8" borderId="3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alignment vertical="center" wrapText="1"/>
    </xf>
    <xf numFmtId="0" fontId="19" fillId="4" borderId="1" xfId="0" applyNumberFormat="1" applyFont="1" applyFill="1" applyBorder="1" applyAlignment="1" applyProtection="1">
      <alignment vertical="center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4" fontId="19" fillId="4" borderId="3" xfId="0" applyNumberFormat="1" applyFont="1" applyFill="1" applyBorder="1" applyAlignment="1" applyProtection="1">
      <alignment horizontal="center" vertical="center" wrapText="1"/>
    </xf>
    <xf numFmtId="4" fontId="47" fillId="4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NumberFormat="1" applyFont="1" applyFill="1" applyBorder="1" applyAlignment="1" applyProtection="1">
      <alignment horizontal="center" vertical="center" wrapText="1"/>
    </xf>
    <xf numFmtId="0" fontId="19" fillId="4" borderId="2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9" fillId="9" borderId="3" xfId="0" quotePrefix="1" applyFont="1" applyFill="1" applyBorder="1" applyAlignment="1">
      <alignment horizontal="right"/>
    </xf>
    <xf numFmtId="3" fontId="19" fillId="9" borderId="4" xfId="0" applyNumberFormat="1" applyFont="1" applyFill="1" applyBorder="1" applyAlignment="1">
      <alignment horizontal="right"/>
    </xf>
    <xf numFmtId="4" fontId="16" fillId="9" borderId="3" xfId="0" applyNumberFormat="1" applyFont="1" applyFill="1" applyBorder="1" applyAlignment="1">
      <alignment horizontal="right"/>
    </xf>
    <xf numFmtId="3" fontId="19" fillId="9" borderId="3" xfId="0" applyNumberFormat="1" applyFont="1" applyFill="1" applyBorder="1" applyAlignment="1">
      <alignment horizontal="right"/>
    </xf>
    <xf numFmtId="3" fontId="41" fillId="2" borderId="3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/>
    </xf>
    <xf numFmtId="3" fontId="19" fillId="2" borderId="4" xfId="0" applyNumberFormat="1" applyFont="1" applyFill="1" applyBorder="1" applyAlignment="1">
      <alignment horizontal="right"/>
    </xf>
    <xf numFmtId="0" fontId="19" fillId="7" borderId="3" xfId="0" quotePrefix="1" applyFont="1" applyFill="1" applyBorder="1" applyAlignment="1">
      <alignment horizontal="right"/>
    </xf>
    <xf numFmtId="3" fontId="19" fillId="7" borderId="4" xfId="0" applyNumberFormat="1" applyFont="1" applyFill="1" applyBorder="1" applyAlignment="1">
      <alignment horizontal="right"/>
    </xf>
    <xf numFmtId="4" fontId="16" fillId="7" borderId="3" xfId="0" applyNumberFormat="1" applyFont="1" applyFill="1" applyBorder="1" applyAlignment="1">
      <alignment horizontal="right"/>
    </xf>
    <xf numFmtId="3" fontId="19" fillId="7" borderId="3" xfId="0" applyNumberFormat="1" applyFont="1" applyFill="1" applyBorder="1" applyAlignment="1">
      <alignment horizontal="right"/>
    </xf>
    <xf numFmtId="0" fontId="19" fillId="10" borderId="3" xfId="0" applyFont="1" applyFill="1" applyBorder="1" applyAlignment="1">
      <alignment horizontal="right"/>
    </xf>
    <xf numFmtId="3" fontId="19" fillId="10" borderId="4" xfId="0" applyNumberFormat="1" applyFont="1" applyFill="1" applyBorder="1" applyAlignment="1">
      <alignment horizontal="right"/>
    </xf>
    <xf numFmtId="4" fontId="16" fillId="10" borderId="3" xfId="0" applyNumberFormat="1" applyFont="1" applyFill="1" applyBorder="1" applyAlignment="1">
      <alignment horizontal="right"/>
    </xf>
    <xf numFmtId="3" fontId="19" fillId="10" borderId="3" xfId="0" applyNumberFormat="1" applyFont="1" applyFill="1" applyBorder="1" applyAlignment="1">
      <alignment horizontal="right"/>
    </xf>
    <xf numFmtId="0" fontId="19" fillId="12" borderId="3" xfId="0" applyFont="1" applyFill="1" applyBorder="1" applyAlignment="1">
      <alignment horizontal="right"/>
    </xf>
    <xf numFmtId="3" fontId="19" fillId="12" borderId="4" xfId="0" applyNumberFormat="1" applyFont="1" applyFill="1" applyBorder="1" applyAlignment="1">
      <alignment horizontal="right"/>
    </xf>
    <xf numFmtId="4" fontId="16" fillId="12" borderId="3" xfId="0" applyNumberFormat="1" applyFont="1" applyFill="1" applyBorder="1" applyAlignment="1">
      <alignment horizontal="right"/>
    </xf>
    <xf numFmtId="3" fontId="19" fillId="12" borderId="3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43" fillId="0" borderId="3" xfId="0" quotePrefix="1" applyFont="1" applyBorder="1" applyAlignment="1">
      <alignment horizontal="left"/>
    </xf>
    <xf numFmtId="0" fontId="43" fillId="10" borderId="3" xfId="0" quotePrefix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0" fontId="19" fillId="12" borderId="3" xfId="0" quotePrefix="1" applyFont="1" applyFill="1" applyBorder="1" applyAlignment="1">
      <alignment horizontal="right"/>
    </xf>
    <xf numFmtId="0" fontId="19" fillId="5" borderId="3" xfId="0" quotePrefix="1" applyFont="1" applyFill="1" applyBorder="1" applyAlignment="1">
      <alignment horizontal="right"/>
    </xf>
    <xf numFmtId="3" fontId="19" fillId="5" borderId="4" xfId="0" applyNumberFormat="1" applyFont="1" applyFill="1" applyBorder="1" applyAlignment="1">
      <alignment horizontal="right"/>
    </xf>
    <xf numFmtId="4" fontId="16" fillId="5" borderId="3" xfId="0" applyNumberFormat="1" applyFont="1" applyFill="1" applyBorder="1" applyAlignment="1">
      <alignment horizontal="right"/>
    </xf>
    <xf numFmtId="3" fontId="19" fillId="5" borderId="3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19" fillId="13" borderId="3" xfId="0" quotePrefix="1" applyFont="1" applyFill="1" applyBorder="1" applyAlignment="1">
      <alignment horizontal="left" vertical="center"/>
    </xf>
    <xf numFmtId="4" fontId="25" fillId="0" borderId="0" xfId="0" applyNumberFormat="1" applyFont="1"/>
    <xf numFmtId="0" fontId="43" fillId="13" borderId="3" xfId="0" quotePrefix="1" applyFont="1" applyFill="1" applyBorder="1" applyAlignment="1">
      <alignment horizontal="left"/>
    </xf>
    <xf numFmtId="4" fontId="16" fillId="2" borderId="3" xfId="0" applyNumberFormat="1" applyFont="1" applyFill="1" applyBorder="1" applyAlignment="1">
      <alignment horizontal="center"/>
    </xf>
    <xf numFmtId="0" fontId="19" fillId="13" borderId="3" xfId="0" quotePrefix="1" applyFont="1" applyFill="1" applyBorder="1" applyAlignment="1">
      <alignment horizontal="left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0" fontId="41" fillId="2" borderId="3" xfId="0" applyNumberFormat="1" applyFont="1" applyFill="1" applyBorder="1" applyAlignment="1" applyProtection="1">
      <alignment horizontal="left" vertical="center" wrapText="1"/>
    </xf>
    <xf numFmtId="0" fontId="41" fillId="2" borderId="3" xfId="0" quotePrefix="1" applyFont="1" applyFill="1" applyBorder="1" applyAlignment="1">
      <alignment horizontal="left" vertical="center"/>
    </xf>
    <xf numFmtId="0" fontId="48" fillId="2" borderId="3" xfId="0" quotePrefix="1" applyFont="1" applyFill="1" applyBorder="1" applyAlignment="1">
      <alignment horizontal="left" vertical="center"/>
    </xf>
    <xf numFmtId="0" fontId="48" fillId="2" borderId="3" xfId="0" quotePrefix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3" xfId="0" applyNumberFormat="1" applyFont="1" applyFill="1" applyBorder="1" applyAlignment="1" applyProtection="1">
      <alignment vertical="center" wrapText="1"/>
    </xf>
    <xf numFmtId="0" fontId="41" fillId="2" borderId="3" xfId="0" applyNumberFormat="1" applyFont="1" applyFill="1" applyBorder="1" applyAlignment="1" applyProtection="1">
      <alignment vertical="center" wrapText="1"/>
    </xf>
    <xf numFmtId="3" fontId="48" fillId="2" borderId="3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Border="1" applyAlignment="1" applyProtection="1">
      <alignment horizontal="center" vertical="center" wrapText="1"/>
    </xf>
    <xf numFmtId="3" fontId="18" fillId="9" borderId="4" xfId="0" applyNumberFormat="1" applyFont="1" applyFill="1" applyBorder="1" applyAlignment="1">
      <alignment horizontal="right"/>
    </xf>
    <xf numFmtId="4" fontId="18" fillId="12" borderId="3" xfId="0" applyNumberFormat="1" applyFont="1" applyFill="1" applyBorder="1" applyAlignment="1">
      <alignment horizontal="right"/>
    </xf>
    <xf numFmtId="0" fontId="19" fillId="7" borderId="3" xfId="0" applyFont="1" applyFill="1" applyBorder="1" applyAlignment="1">
      <alignment horizontal="right"/>
    </xf>
    <xf numFmtId="3" fontId="41" fillId="10" borderId="4" xfId="0" applyNumberFormat="1" applyFont="1" applyFill="1" applyBorder="1" applyAlignment="1">
      <alignment horizontal="right"/>
    </xf>
    <xf numFmtId="3" fontId="41" fillId="12" borderId="4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horizontal="center"/>
    </xf>
    <xf numFmtId="0" fontId="19" fillId="10" borderId="3" xfId="0" quotePrefix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9" fillId="10" borderId="3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3" fontId="51" fillId="4" borderId="3" xfId="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center" vertical="center" wrapText="1"/>
    </xf>
    <xf numFmtId="3" fontId="11" fillId="2" borderId="4" xfId="0" applyNumberFormat="1" applyFont="1" applyFill="1" applyBorder="1" applyAlignment="1" applyProtection="1">
      <alignment horizontal="left" vertical="center" wrapText="1"/>
    </xf>
    <xf numFmtId="3" fontId="10" fillId="2" borderId="4" xfId="0" quotePrefix="1" applyNumberFormat="1" applyFont="1" applyFill="1" applyBorder="1" applyAlignment="1">
      <alignment horizontal="left" vertical="center" wrapText="1"/>
    </xf>
    <xf numFmtId="3" fontId="9" fillId="2" borderId="4" xfId="0" quotePrefix="1" applyNumberFormat="1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0" fillId="2" borderId="4" xfId="0" quotePrefix="1" applyNumberFormat="1" applyFont="1" applyFill="1" applyBorder="1" applyAlignment="1">
      <alignment horizontal="left" vertical="center"/>
    </xf>
    <xf numFmtId="3" fontId="9" fillId="2" borderId="4" xfId="0" quotePrefix="1" applyNumberFormat="1" applyFont="1" applyFill="1" applyBorder="1" applyAlignment="1">
      <alignment horizontal="left" vertical="center"/>
    </xf>
    <xf numFmtId="4" fontId="10" fillId="2" borderId="4" xfId="0" quotePrefix="1" applyNumberFormat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4" fontId="11" fillId="2" borderId="4" xfId="0" applyNumberFormat="1" applyFont="1" applyFill="1" applyBorder="1" applyAlignment="1" applyProtection="1">
      <alignment horizontal="left" vertical="center" wrapText="1"/>
    </xf>
    <xf numFmtId="3" fontId="42" fillId="2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0" fontId="53" fillId="0" borderId="0" xfId="0" applyFont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>
      <alignment horizontal="right"/>
    </xf>
    <xf numFmtId="0" fontId="53" fillId="0" borderId="3" xfId="0" applyFont="1" applyBorder="1" applyAlignment="1">
      <alignment horizontal="left"/>
    </xf>
    <xf numFmtId="4" fontId="9" fillId="2" borderId="3" xfId="0" applyNumberFormat="1" applyFont="1" applyFill="1" applyBorder="1" applyAlignment="1">
      <alignment horizontal="right"/>
    </xf>
    <xf numFmtId="4" fontId="11" fillId="14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1" fillId="14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11" fillId="8" borderId="3" xfId="0" applyNumberFormat="1" applyFont="1" applyFill="1" applyBorder="1" applyAlignment="1">
      <alignment horizontal="right"/>
    </xf>
    <xf numFmtId="164" fontId="11" fillId="8" borderId="3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50" fillId="0" borderId="0" xfId="0" applyFont="1"/>
    <xf numFmtId="0" fontId="57" fillId="0" borderId="0" xfId="0" applyFont="1"/>
    <xf numFmtId="3" fontId="6" fillId="5" borderId="3" xfId="0" applyNumberFormat="1" applyFont="1" applyFill="1" applyBorder="1" applyAlignment="1">
      <alignment horizontal="right"/>
    </xf>
    <xf numFmtId="4" fontId="19" fillId="7" borderId="3" xfId="0" applyNumberFormat="1" applyFont="1" applyFill="1" applyBorder="1" applyAlignment="1">
      <alignment horizontal="right"/>
    </xf>
    <xf numFmtId="164" fontId="19" fillId="7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4" fontId="19" fillId="9" borderId="3" xfId="0" applyNumberFormat="1" applyFont="1" applyFill="1" applyBorder="1" applyAlignment="1">
      <alignment horizontal="right"/>
    </xf>
    <xf numFmtId="164" fontId="19" fillId="9" borderId="3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1" xfId="0" quotePrefix="1" applyNumberFormat="1" applyFont="1" applyBorder="1" applyAlignment="1">
      <alignment wrapText="1"/>
    </xf>
    <xf numFmtId="4" fontId="19" fillId="10" borderId="3" xfId="0" applyNumberFormat="1" applyFont="1" applyFill="1" applyBorder="1" applyAlignment="1">
      <alignment horizontal="right"/>
    </xf>
    <xf numFmtId="164" fontId="19" fillId="10" borderId="3" xfId="0" applyNumberFormat="1" applyFont="1" applyFill="1" applyBorder="1" applyAlignment="1">
      <alignment horizontal="right"/>
    </xf>
    <xf numFmtId="4" fontId="19" fillId="12" borderId="3" xfId="0" applyNumberFormat="1" applyFont="1" applyFill="1" applyBorder="1" applyAlignment="1">
      <alignment horizontal="right"/>
    </xf>
    <xf numFmtId="164" fontId="19" fillId="12" borderId="3" xfId="0" applyNumberFormat="1" applyFont="1" applyFill="1" applyBorder="1" applyAlignment="1">
      <alignment horizontal="right"/>
    </xf>
    <xf numFmtId="4" fontId="41" fillId="12" borderId="3" xfId="0" applyNumberFormat="1" applyFont="1" applyFill="1" applyBorder="1" applyAlignment="1">
      <alignment horizontal="right"/>
    </xf>
    <xf numFmtId="4" fontId="19" fillId="5" borderId="3" xfId="0" applyNumberFormat="1" applyFont="1" applyFill="1" applyBorder="1" applyAlignment="1">
      <alignment horizontal="right"/>
    </xf>
    <xf numFmtId="164" fontId="19" fillId="5" borderId="3" xfId="0" applyNumberFormat="1" applyFont="1" applyFill="1" applyBorder="1" applyAlignment="1">
      <alignment horizontal="right"/>
    </xf>
    <xf numFmtId="4" fontId="42" fillId="4" borderId="3" xfId="0" applyNumberFormat="1" applyFont="1" applyFill="1" applyBorder="1" applyAlignment="1" applyProtection="1">
      <alignment horizontal="center" vertical="center" wrapText="1"/>
    </xf>
    <xf numFmtId="4" fontId="19" fillId="2" borderId="3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horizontal="center" vertical="center" wrapText="1"/>
    </xf>
    <xf numFmtId="164" fontId="19" fillId="4" borderId="3" xfId="0" applyNumberFormat="1" applyFont="1" applyFill="1" applyBorder="1" applyAlignment="1" applyProtection="1">
      <alignment horizontal="center" vertical="center" wrapText="1"/>
    </xf>
    <xf numFmtId="164" fontId="19" fillId="2" borderId="3" xfId="0" applyNumberFormat="1" applyFont="1" applyFill="1" applyBorder="1" applyAlignment="1">
      <alignment horizontal="center"/>
    </xf>
    <xf numFmtId="0" fontId="53" fillId="0" borderId="3" xfId="0" applyFont="1" applyBorder="1"/>
    <xf numFmtId="3" fontId="53" fillId="0" borderId="3" xfId="0" applyNumberFormat="1" applyFont="1" applyBorder="1"/>
    <xf numFmtId="4" fontId="45" fillId="0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/>
    <xf numFmtId="0" fontId="59" fillId="0" borderId="1" xfId="0" quotePrefix="1" applyFont="1" applyBorder="1" applyAlignment="1">
      <alignment horizontal="left" wrapText="1"/>
    </xf>
    <xf numFmtId="0" fontId="59" fillId="0" borderId="2" xfId="0" quotePrefix="1" applyFont="1" applyBorder="1" applyAlignment="1">
      <alignment horizontal="left" wrapText="1"/>
    </xf>
    <xf numFmtId="0" fontId="59" fillId="0" borderId="2" xfId="0" quotePrefix="1" applyFont="1" applyBorder="1" applyAlignment="1">
      <alignment horizontal="center" wrapText="1"/>
    </xf>
    <xf numFmtId="0" fontId="59" fillId="0" borderId="2" xfId="0" quotePrefix="1" applyNumberFormat="1" applyFont="1" applyFill="1" applyBorder="1" applyAlignment="1" applyProtection="1">
      <alignment horizontal="left"/>
    </xf>
    <xf numFmtId="0" fontId="59" fillId="2" borderId="3" xfId="0" applyNumberFormat="1" applyFont="1" applyFill="1" applyBorder="1" applyAlignment="1" applyProtection="1">
      <alignment horizontal="center" vertical="center" wrapText="1"/>
    </xf>
    <xf numFmtId="0" fontId="60" fillId="0" borderId="0" xfId="0" applyFont="1"/>
    <xf numFmtId="4" fontId="48" fillId="2" borderId="3" xfId="0" applyNumberFormat="1" applyFont="1" applyFill="1" applyBorder="1" applyAlignment="1">
      <alignment horizontal="right"/>
    </xf>
    <xf numFmtId="4" fontId="42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19" fillId="0" borderId="4" xfId="0" applyNumberFormat="1" applyFont="1" applyFill="1" applyBorder="1" applyAlignment="1">
      <alignment horizontal="right"/>
    </xf>
    <xf numFmtId="0" fontId="25" fillId="0" borderId="0" xfId="0" applyFont="1"/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vertical="center" wrapText="1"/>
    </xf>
    <xf numFmtId="0" fontId="44" fillId="0" borderId="0" xfId="0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4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9" fillId="12" borderId="1" xfId="0" applyFont="1" applyFill="1" applyBorder="1" applyAlignment="1">
      <alignment horizontal="center" wrapText="1"/>
    </xf>
    <xf numFmtId="0" fontId="19" fillId="12" borderId="2" xfId="0" applyFont="1" applyFill="1" applyBorder="1" applyAlignment="1">
      <alignment horizontal="center" wrapText="1"/>
    </xf>
    <xf numFmtId="0" fontId="19" fillId="12" borderId="4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19" fillId="9" borderId="1" xfId="0" applyFont="1" applyFill="1" applyBorder="1" applyAlignment="1">
      <alignment horizontal="center" wrapText="1"/>
    </xf>
    <xf numFmtId="0" fontId="19" fillId="9" borderId="2" xfId="0" applyFont="1" applyFill="1" applyBorder="1" applyAlignment="1">
      <alignment horizontal="center" wrapText="1"/>
    </xf>
    <xf numFmtId="0" fontId="19" fillId="9" borderId="4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7" borderId="1" xfId="0" applyFont="1" applyFill="1" applyBorder="1" applyAlignment="1">
      <alignment horizontal="center" wrapText="1"/>
    </xf>
    <xf numFmtId="0" fontId="19" fillId="7" borderId="2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left" wrapText="1"/>
    </xf>
    <xf numFmtId="0" fontId="42" fillId="2" borderId="2" xfId="0" applyFont="1" applyFill="1" applyBorder="1" applyAlignment="1">
      <alignment horizontal="left" wrapText="1"/>
    </xf>
    <xf numFmtId="0" fontId="42" fillId="2" borderId="4" xfId="0" applyFont="1" applyFill="1" applyBorder="1" applyAlignment="1">
      <alignment horizontal="left" wrapText="1"/>
    </xf>
    <xf numFmtId="0" fontId="19" fillId="4" borderId="2" xfId="0" applyNumberFormat="1" applyFont="1" applyFill="1" applyBorder="1" applyAlignment="1" applyProtection="1">
      <alignment horizontal="center" vertical="center" wrapText="1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0" fontId="43" fillId="14" borderId="1" xfId="0" applyFont="1" applyFill="1" applyBorder="1" applyAlignment="1">
      <alignment horizontal="center" wrapText="1"/>
    </xf>
    <xf numFmtId="0" fontId="43" fillId="14" borderId="2" xfId="0" applyFont="1" applyFill="1" applyBorder="1" applyAlignment="1">
      <alignment horizontal="center" wrapText="1"/>
    </xf>
    <xf numFmtId="0" fontId="43" fillId="14" borderId="4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left" wrapText="1"/>
    </xf>
    <xf numFmtId="0" fontId="42" fillId="0" borderId="3" xfId="0" applyFont="1" applyBorder="1" applyAlignment="1">
      <alignment horizontal="left" wrapText="1"/>
    </xf>
    <xf numFmtId="0" fontId="19" fillId="5" borderId="1" xfId="0" applyFont="1" applyFill="1" applyBorder="1" applyAlignment="1">
      <alignment horizontal="left" vertical="top" wrapText="1"/>
    </xf>
    <xf numFmtId="0" fontId="19" fillId="5" borderId="2" xfId="0" applyFont="1" applyFill="1" applyBorder="1" applyAlignment="1">
      <alignment horizontal="left" vertical="top" wrapText="1"/>
    </xf>
    <xf numFmtId="0" fontId="19" fillId="5" borderId="4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left" wrapText="1"/>
    </xf>
    <xf numFmtId="0" fontId="42" fillId="0" borderId="2" xfId="0" applyFont="1" applyBorder="1" applyAlignment="1">
      <alignment horizontal="left" wrapText="1"/>
    </xf>
    <xf numFmtId="0" fontId="42" fillId="0" borderId="4" xfId="0" applyFont="1" applyBorder="1" applyAlignment="1">
      <alignment horizontal="left" wrapText="1"/>
    </xf>
    <xf numFmtId="0" fontId="19" fillId="8" borderId="1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4" xfId="0" applyFont="1" applyBorder="1" applyAlignment="1">
      <alignment horizontal="left"/>
    </xf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wrapText="1"/>
    </xf>
    <xf numFmtId="0" fontId="41" fillId="12" borderId="1" xfId="0" applyFont="1" applyFill="1" applyBorder="1" applyAlignment="1">
      <alignment horizontal="center" wrapText="1"/>
    </xf>
    <xf numFmtId="0" fontId="41" fillId="12" borderId="2" xfId="0" applyFont="1" applyFill="1" applyBorder="1" applyAlignment="1">
      <alignment horizontal="center" wrapText="1"/>
    </xf>
    <xf numFmtId="0" fontId="41" fillId="12" borderId="4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left" wrapText="1"/>
    </xf>
    <xf numFmtId="0" fontId="19" fillId="6" borderId="2" xfId="0" applyFont="1" applyFill="1" applyBorder="1" applyAlignment="1">
      <alignment horizontal="left" wrapText="1"/>
    </xf>
    <xf numFmtId="0" fontId="19" fillId="6" borderId="4" xfId="0" applyFont="1" applyFill="1" applyBorder="1" applyAlignment="1">
      <alignment horizontal="left" wrapText="1"/>
    </xf>
    <xf numFmtId="0" fontId="19" fillId="10" borderId="1" xfId="0" applyFont="1" applyFill="1" applyBorder="1" applyAlignment="1">
      <alignment horizontal="center" wrapText="1"/>
    </xf>
    <xf numFmtId="0" fontId="19" fillId="10" borderId="2" xfId="0" applyFont="1" applyFill="1" applyBorder="1" applyAlignment="1">
      <alignment horizontal="center" wrapText="1"/>
    </xf>
    <xf numFmtId="0" fontId="19" fillId="10" borderId="4" xfId="0" applyFont="1" applyFill="1" applyBorder="1" applyAlignment="1">
      <alignment horizontal="center" wrapText="1"/>
    </xf>
    <xf numFmtId="0" fontId="24" fillId="10" borderId="1" xfId="0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9" fillId="10" borderId="1" xfId="0" applyFont="1" applyFill="1" applyBorder="1" applyAlignment="1">
      <alignment horizontal="left" wrapText="1"/>
    </xf>
    <xf numFmtId="0" fontId="19" fillId="10" borderId="2" xfId="0" applyFont="1" applyFill="1" applyBorder="1" applyAlignment="1">
      <alignment horizontal="left" wrapText="1"/>
    </xf>
    <xf numFmtId="0" fontId="19" fillId="10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50" fillId="0" borderId="2" xfId="0" applyFont="1" applyBorder="1" applyAlignment="1">
      <alignment horizontal="left"/>
    </xf>
    <xf numFmtId="0" fontId="50" fillId="0" borderId="4" xfId="0" applyFont="1" applyBorder="1" applyAlignment="1">
      <alignment horizontal="left"/>
    </xf>
  </cellXfs>
  <cellStyles count="15">
    <cellStyle name="Bad 1" xfId="8" xr:uid="{00000000-0005-0000-0000-00002F000000}"/>
    <cellStyle name="Good 1" xfId="9" xr:uid="{00000000-0005-0000-0000-000030000000}"/>
    <cellStyle name="Heading 1 1" xfId="10" xr:uid="{00000000-0005-0000-0000-000031000000}"/>
    <cellStyle name="Heading 2 1" xfId="11" xr:uid="{00000000-0005-0000-0000-000032000000}"/>
    <cellStyle name="Neutral 1" xfId="12" xr:uid="{00000000-0005-0000-0000-000033000000}"/>
    <cellStyle name="Normal_Podaci" xfId="4" xr:uid="{0F28D05F-F6A9-487C-B472-470B65CE20B3}"/>
    <cellStyle name="Normalno" xfId="0" builtinId="0"/>
    <cellStyle name="Normalno 2" xfId="2" xr:uid="{00000000-0005-0000-0000-000030000000}"/>
    <cellStyle name="Normalno 2 2" xfId="13" xr:uid="{00000000-0005-0000-0000-000035000000}"/>
    <cellStyle name="Normalno 3" xfId="1" xr:uid="{00000000-0005-0000-0000-00002F000000}"/>
    <cellStyle name="Normalno 3 2" xfId="7" xr:uid="{00000000-0005-0000-0000-000034000000}"/>
    <cellStyle name="Normalno 4" xfId="5" xr:uid="{00000000-0005-0000-0000-000038000000}"/>
    <cellStyle name="Note 1" xfId="14" xr:uid="{00000000-0005-0000-0000-000036000000}"/>
    <cellStyle name="Obično_List1" xfId="3" xr:uid="{00000000-0005-0000-0000-000031000000}"/>
    <cellStyle name="Valuta 2" xfId="6" xr:uid="{00000000-0005-0000-0000-00003C000000}"/>
  </cellStyles>
  <dxfs count="0"/>
  <tableStyles count="0" defaultTableStyle="TableStyleMedium2" defaultPivotStyle="PivotStyleLight16"/>
  <colors>
    <mruColors>
      <color rgb="FFCCFFFF"/>
      <color rgb="FFE5B3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D08B-B70C-46C0-9BBE-B855E4FC25DD}">
  <dimension ref="B5:H24"/>
  <sheetViews>
    <sheetView tabSelected="1" workbookViewId="0">
      <selection activeCell="C1" sqref="C1"/>
    </sheetView>
  </sheetViews>
  <sheetFormatPr defaultRowHeight="15" x14ac:dyDescent="0.25"/>
  <cols>
    <col min="1" max="1" width="1.42578125" customWidth="1"/>
    <col min="2" max="2" width="9.140625" hidden="1" customWidth="1"/>
    <col min="8" max="8" width="46.42578125" customWidth="1"/>
  </cols>
  <sheetData>
    <row r="5" spans="3:8" x14ac:dyDescent="0.25">
      <c r="C5" s="260" t="s">
        <v>154</v>
      </c>
      <c r="D5" s="261"/>
      <c r="E5" s="261"/>
      <c r="F5" s="261"/>
      <c r="G5" s="261"/>
      <c r="H5" s="261"/>
    </row>
    <row r="6" spans="3:8" x14ac:dyDescent="0.25">
      <c r="C6" s="261"/>
      <c r="D6" s="261"/>
      <c r="E6" s="261"/>
      <c r="F6" s="261"/>
      <c r="G6" s="261"/>
      <c r="H6" s="261"/>
    </row>
    <row r="7" spans="3:8" x14ac:dyDescent="0.25">
      <c r="C7" s="261"/>
      <c r="D7" s="261"/>
      <c r="E7" s="261"/>
      <c r="F7" s="261"/>
      <c r="G7" s="261"/>
      <c r="H7" s="261"/>
    </row>
    <row r="8" spans="3:8" x14ac:dyDescent="0.25">
      <c r="C8" s="261"/>
      <c r="D8" s="261"/>
      <c r="E8" s="261"/>
      <c r="F8" s="261"/>
      <c r="G8" s="261"/>
      <c r="H8" s="261"/>
    </row>
    <row r="9" spans="3:8" x14ac:dyDescent="0.25">
      <c r="C9" s="261"/>
      <c r="D9" s="261"/>
      <c r="E9" s="261"/>
      <c r="F9" s="261"/>
      <c r="G9" s="261"/>
      <c r="H9" s="261"/>
    </row>
    <row r="10" spans="3:8" x14ac:dyDescent="0.25">
      <c r="C10" s="261"/>
      <c r="D10" s="261"/>
      <c r="E10" s="261"/>
      <c r="F10" s="261"/>
      <c r="G10" s="261"/>
      <c r="H10" s="261"/>
    </row>
    <row r="11" spans="3:8" x14ac:dyDescent="0.25">
      <c r="C11" s="261"/>
      <c r="D11" s="261"/>
      <c r="E11" s="261"/>
      <c r="F11" s="261"/>
      <c r="G11" s="261"/>
      <c r="H11" s="261"/>
    </row>
    <row r="12" spans="3:8" x14ac:dyDescent="0.25">
      <c r="C12" s="261"/>
      <c r="D12" s="261"/>
      <c r="E12" s="261"/>
      <c r="F12" s="261"/>
      <c r="G12" s="261"/>
      <c r="H12" s="261"/>
    </row>
    <row r="13" spans="3:8" x14ac:dyDescent="0.25">
      <c r="C13" s="261"/>
      <c r="D13" s="261"/>
      <c r="E13" s="261"/>
      <c r="F13" s="261"/>
      <c r="G13" s="261"/>
      <c r="H13" s="261"/>
    </row>
    <row r="14" spans="3:8" x14ac:dyDescent="0.25">
      <c r="C14" s="261"/>
      <c r="D14" s="261"/>
      <c r="E14" s="261"/>
      <c r="F14" s="261"/>
      <c r="G14" s="261"/>
      <c r="H14" s="261"/>
    </row>
    <row r="15" spans="3:8" ht="112.5" customHeight="1" x14ac:dyDescent="0.25">
      <c r="C15" s="261"/>
      <c r="D15" s="261"/>
      <c r="E15" s="261"/>
      <c r="F15" s="261"/>
      <c r="G15" s="261"/>
      <c r="H15" s="261"/>
    </row>
    <row r="16" spans="3:8" x14ac:dyDescent="0.25">
      <c r="C16" s="141" t="s">
        <v>118</v>
      </c>
      <c r="D16" s="259"/>
      <c r="E16" s="259"/>
      <c r="F16" s="259"/>
      <c r="G16" s="259"/>
      <c r="H16" s="259"/>
    </row>
    <row r="17" spans="3:8" x14ac:dyDescent="0.25">
      <c r="C17" s="259"/>
      <c r="D17" s="259"/>
      <c r="E17" s="259"/>
      <c r="F17" s="259"/>
      <c r="G17" s="259"/>
      <c r="H17" s="259"/>
    </row>
    <row r="18" spans="3:8" x14ac:dyDescent="0.25">
      <c r="C18" s="259"/>
      <c r="D18" s="259"/>
      <c r="E18" s="259"/>
      <c r="F18" s="259"/>
      <c r="G18" s="259"/>
      <c r="H18" s="259"/>
    </row>
    <row r="19" spans="3:8" x14ac:dyDescent="0.25">
      <c r="C19" s="259"/>
      <c r="D19" s="259"/>
      <c r="E19" s="259"/>
      <c r="F19" s="259"/>
      <c r="G19" s="259"/>
      <c r="H19" s="259"/>
    </row>
    <row r="20" spans="3:8" x14ac:dyDescent="0.25">
      <c r="C20" s="259"/>
      <c r="D20" s="259"/>
      <c r="E20" s="259"/>
      <c r="F20" s="259"/>
      <c r="G20" s="259"/>
      <c r="H20" s="259"/>
    </row>
    <row r="21" spans="3:8" x14ac:dyDescent="0.25">
      <c r="C21" s="259" t="s">
        <v>148</v>
      </c>
      <c r="D21" s="259" t="s">
        <v>152</v>
      </c>
      <c r="E21" s="259"/>
      <c r="F21" s="259"/>
      <c r="G21" s="259"/>
      <c r="H21" s="259"/>
    </row>
    <row r="22" spans="3:8" x14ac:dyDescent="0.25">
      <c r="C22" s="259" t="s">
        <v>149</v>
      </c>
      <c r="D22" s="259" t="s">
        <v>153</v>
      </c>
      <c r="E22" s="259"/>
      <c r="F22" s="259"/>
      <c r="G22" s="259"/>
      <c r="H22" s="259"/>
    </row>
    <row r="23" spans="3:8" x14ac:dyDescent="0.25">
      <c r="C23" s="259"/>
      <c r="D23" s="259"/>
      <c r="E23" s="259"/>
      <c r="F23" s="259"/>
      <c r="G23" s="259"/>
      <c r="H23" s="259"/>
    </row>
    <row r="24" spans="3:8" x14ac:dyDescent="0.25">
      <c r="C24" s="259"/>
      <c r="D24" s="259"/>
      <c r="E24" s="259"/>
      <c r="F24" s="259"/>
      <c r="G24" s="259"/>
      <c r="H24" s="259"/>
    </row>
  </sheetData>
  <sheetProtection algorithmName="SHA-512" hashValue="WEy+BVBJbWNADBatBFBqUwzrKksx3zvN9LV9lO1a2HaAGEjnBqwUqeFXIlSpOhwIFxubShJgRCoNhjMrjl7HdQ==" saltValue="epLfDTfjdZk5xrF7kqIQhQ==" spinCount="100000" sheet="1" objects="1" scenarios="1"/>
  <mergeCells count="1">
    <mergeCell ref="C5:H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workbookViewId="0">
      <selection sqref="A1:O1"/>
    </sheetView>
  </sheetViews>
  <sheetFormatPr defaultRowHeight="15" x14ac:dyDescent="0.25"/>
  <cols>
    <col min="5" max="5" width="21.7109375" customWidth="1"/>
    <col min="6" max="15" width="15.7109375" customWidth="1"/>
  </cols>
  <sheetData>
    <row r="1" spans="1:15" ht="42" customHeight="1" x14ac:dyDescent="0.25">
      <c r="A1" s="264" t="s">
        <v>150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ht="18" customHeight="1" x14ac:dyDescent="0.25">
      <c r="A2" s="5"/>
      <c r="B2" s="5"/>
      <c r="C2" s="5"/>
      <c r="D2" s="5"/>
      <c r="E2" s="5"/>
      <c r="F2" s="5"/>
      <c r="G2" s="22"/>
      <c r="H2" s="5"/>
      <c r="I2" s="22"/>
      <c r="J2" s="5"/>
      <c r="K2" s="22"/>
      <c r="L2" s="5"/>
      <c r="M2" s="22"/>
      <c r="N2" s="22"/>
      <c r="O2" s="5"/>
    </row>
    <row r="3" spans="1:15" ht="15.75" x14ac:dyDescent="0.25">
      <c r="A3" s="264" t="s">
        <v>31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81"/>
      <c r="M3" s="281"/>
      <c r="N3" s="281"/>
      <c r="O3" s="281"/>
    </row>
    <row r="4" spans="1:15" ht="18" x14ac:dyDescent="0.25">
      <c r="A4" s="5"/>
      <c r="B4" s="5"/>
      <c r="C4" s="5"/>
      <c r="D4" s="5"/>
      <c r="E4" s="5"/>
      <c r="F4" s="5"/>
      <c r="G4" s="22"/>
      <c r="H4" s="5"/>
      <c r="I4" s="22"/>
      <c r="J4" s="5"/>
      <c r="K4" s="22"/>
      <c r="L4" s="6"/>
      <c r="M4" s="6"/>
      <c r="N4" s="141" t="s">
        <v>118</v>
      </c>
      <c r="O4" s="141"/>
    </row>
    <row r="5" spans="1:15" ht="18" customHeight="1" x14ac:dyDescent="0.25">
      <c r="A5" s="264" t="s">
        <v>35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8"/>
      <c r="N6" s="8"/>
      <c r="O6" s="34" t="s">
        <v>38</v>
      </c>
    </row>
    <row r="7" spans="1:15" s="254" customFormat="1" ht="24" x14ac:dyDescent="0.2">
      <c r="A7" s="249"/>
      <c r="B7" s="250"/>
      <c r="C7" s="250"/>
      <c r="D7" s="251"/>
      <c r="E7" s="252"/>
      <c r="F7" s="253" t="s">
        <v>133</v>
      </c>
      <c r="G7" s="253" t="s">
        <v>134</v>
      </c>
      <c r="H7" s="253" t="s">
        <v>135</v>
      </c>
      <c r="I7" s="253" t="s">
        <v>136</v>
      </c>
      <c r="J7" s="253" t="s">
        <v>137</v>
      </c>
      <c r="K7" s="253" t="s">
        <v>138</v>
      </c>
      <c r="L7" s="253" t="s">
        <v>139</v>
      </c>
      <c r="M7" s="253" t="s">
        <v>140</v>
      </c>
      <c r="N7" s="253" t="s">
        <v>141</v>
      </c>
      <c r="O7" s="253" t="s">
        <v>142</v>
      </c>
    </row>
    <row r="8" spans="1:15" x14ac:dyDescent="0.25">
      <c r="A8" s="282" t="s">
        <v>0</v>
      </c>
      <c r="B8" s="278"/>
      <c r="C8" s="278"/>
      <c r="D8" s="278"/>
      <c r="E8" s="283"/>
      <c r="F8" s="225">
        <f>G8/7.5345</f>
        <v>1553563.2092375073</v>
      </c>
      <c r="G8" s="225">
        <f>SUM(G9:G10)</f>
        <v>11705322</v>
      </c>
      <c r="H8" s="225">
        <f>SUM(H9:H10)</f>
        <v>1923246.3998938217</v>
      </c>
      <c r="I8" s="225">
        <f>SUM(I9:I10)</f>
        <v>14490700</v>
      </c>
      <c r="J8" s="225">
        <f>SUM(J9:J10)</f>
        <v>1722936</v>
      </c>
      <c r="K8" s="225">
        <f>SUM(J8*7.5345)</f>
        <v>12981461.292000001</v>
      </c>
      <c r="L8" s="225">
        <f>SUM(L9:L10)</f>
        <v>1722936</v>
      </c>
      <c r="M8" s="225">
        <f>SUM(L8*7.5345)</f>
        <v>12981461.292000001</v>
      </c>
      <c r="N8" s="225">
        <f>SUM(N9:N10)</f>
        <v>1722406</v>
      </c>
      <c r="O8" s="225">
        <f>SUM(N8*7.5345)</f>
        <v>12977468.007000001</v>
      </c>
    </row>
    <row r="9" spans="1:15" x14ac:dyDescent="0.25">
      <c r="A9" s="274" t="s">
        <v>1</v>
      </c>
      <c r="B9" s="267"/>
      <c r="C9" s="267"/>
      <c r="D9" s="267"/>
      <c r="E9" s="280"/>
      <c r="F9" s="28">
        <f>G9/7.5345</f>
        <v>1549693.0121441369</v>
      </c>
      <c r="G9" s="28">
        <v>11676162</v>
      </c>
      <c r="H9" s="28">
        <f>I9/7.5345</f>
        <v>1922980.9542769925</v>
      </c>
      <c r="I9" s="28">
        <v>14488700</v>
      </c>
      <c r="J9" s="28">
        <v>1722676</v>
      </c>
      <c r="K9" s="198">
        <f>SUM(J9*7.5345)</f>
        <v>12979502.322000001</v>
      </c>
      <c r="L9" s="28">
        <v>1722936</v>
      </c>
      <c r="M9" s="189">
        <f>SUM(L9*7.5345)</f>
        <v>12981461.292000001</v>
      </c>
      <c r="N9" s="28">
        <v>1722406</v>
      </c>
      <c r="O9" s="189">
        <f>SUM(N9*7.5345)</f>
        <v>12977468.007000001</v>
      </c>
    </row>
    <row r="10" spans="1:15" x14ac:dyDescent="0.25">
      <c r="A10" s="284" t="s">
        <v>2</v>
      </c>
      <c r="B10" s="280"/>
      <c r="C10" s="280"/>
      <c r="D10" s="280"/>
      <c r="E10" s="280"/>
      <c r="F10" s="28">
        <f>G10/7.5345</f>
        <v>3870.1970933704956</v>
      </c>
      <c r="G10" s="28">
        <v>29160</v>
      </c>
      <c r="H10" s="28">
        <f t="shared" ref="H10:H13" si="0">I10/7.5345</f>
        <v>265.44561682925212</v>
      </c>
      <c r="I10" s="28">
        <v>2000</v>
      </c>
      <c r="J10" s="28">
        <v>260</v>
      </c>
      <c r="K10" s="198">
        <f t="shared" ref="K10:M11" si="1">SUM(J10*7.5345)</f>
        <v>1958.97</v>
      </c>
      <c r="L10" s="28">
        <v>0</v>
      </c>
      <c r="M10" s="189">
        <f>SUM(L10*7.5345)</f>
        <v>0</v>
      </c>
      <c r="N10" s="28"/>
      <c r="O10" s="189">
        <f t="shared" ref="O10" si="2">SUM(N10*7.5345)</f>
        <v>0</v>
      </c>
    </row>
    <row r="11" spans="1:15" x14ac:dyDescent="0.25">
      <c r="A11" s="35" t="s">
        <v>3</v>
      </c>
      <c r="B11" s="36"/>
      <c r="C11" s="36"/>
      <c r="D11" s="36"/>
      <c r="E11" s="36"/>
      <c r="F11" s="225">
        <f t="shared" ref="F11:F14" si="3">G11/7.5345</f>
        <v>1539184.8165107174</v>
      </c>
      <c r="G11" s="225">
        <f>SUM(G12:G13)</f>
        <v>11596988</v>
      </c>
      <c r="H11" s="225">
        <f t="shared" si="0"/>
        <v>1960143.3406330878</v>
      </c>
      <c r="I11" s="225">
        <f>SUM(I12:I13)</f>
        <v>14768700</v>
      </c>
      <c r="J11" s="225">
        <f>SUM(J12+J13)</f>
        <v>1722936</v>
      </c>
      <c r="K11" s="225">
        <f t="shared" si="1"/>
        <v>12981461.292000001</v>
      </c>
      <c r="L11" s="225">
        <f>SUM(L12:L13)</f>
        <v>1722936</v>
      </c>
      <c r="M11" s="225">
        <f t="shared" si="1"/>
        <v>12981461.292000001</v>
      </c>
      <c r="N11" s="225">
        <f>SUM(N12:N13)</f>
        <v>1722406</v>
      </c>
      <c r="O11" s="225">
        <f t="shared" ref="O11" si="4">SUM(N11*7.5345)</f>
        <v>12977468.007000001</v>
      </c>
    </row>
    <row r="12" spans="1:15" x14ac:dyDescent="0.25">
      <c r="A12" s="266" t="s">
        <v>4</v>
      </c>
      <c r="B12" s="267"/>
      <c r="C12" s="267"/>
      <c r="D12" s="267"/>
      <c r="E12" s="267"/>
      <c r="F12" s="28">
        <f t="shared" si="3"/>
        <v>1459994.1601964296</v>
      </c>
      <c r="G12" s="28">
        <v>11000326</v>
      </c>
      <c r="H12" s="28">
        <f t="shared" si="0"/>
        <v>1892720.1539584578</v>
      </c>
      <c r="I12" s="28">
        <v>14260700</v>
      </c>
      <c r="J12" s="28">
        <v>1656173</v>
      </c>
      <c r="K12" s="28">
        <f>SUM(J12*7.5345)</f>
        <v>12478435.468500001</v>
      </c>
      <c r="L12" s="28">
        <v>1655643</v>
      </c>
      <c r="M12" s="28">
        <f>SUM(L12*7.5345)</f>
        <v>12474442.183500001</v>
      </c>
      <c r="N12" s="28">
        <v>1655903</v>
      </c>
      <c r="O12" s="28">
        <f>SUM(N12*7.5345)</f>
        <v>12476401.1535</v>
      </c>
    </row>
    <row r="13" spans="1:15" x14ac:dyDescent="0.25">
      <c r="A13" s="279" t="s">
        <v>5</v>
      </c>
      <c r="B13" s="280"/>
      <c r="C13" s="280"/>
      <c r="D13" s="280"/>
      <c r="E13" s="280"/>
      <c r="F13" s="28">
        <f t="shared" si="3"/>
        <v>79190.656314287611</v>
      </c>
      <c r="G13" s="29">
        <v>596662</v>
      </c>
      <c r="H13" s="28">
        <f t="shared" si="0"/>
        <v>67423.186674630037</v>
      </c>
      <c r="I13" s="29">
        <v>508000</v>
      </c>
      <c r="J13" s="29">
        <v>66763</v>
      </c>
      <c r="K13" s="28">
        <f>SUM(J13*7.5345)</f>
        <v>503025.82350000006</v>
      </c>
      <c r="L13" s="29">
        <v>67293</v>
      </c>
      <c r="M13" s="28">
        <f>SUM(L13*7.5345)</f>
        <v>507019.10850000003</v>
      </c>
      <c r="N13" s="29">
        <v>66503</v>
      </c>
      <c r="O13" s="28">
        <f>SUM(N13*7.5345)</f>
        <v>501066.85350000003</v>
      </c>
    </row>
    <row r="14" spans="1:15" x14ac:dyDescent="0.25">
      <c r="A14" s="277" t="s">
        <v>6</v>
      </c>
      <c r="B14" s="278"/>
      <c r="C14" s="278"/>
      <c r="D14" s="278"/>
      <c r="E14" s="278"/>
      <c r="F14" s="225">
        <f t="shared" si="3"/>
        <v>14378.392726790098</v>
      </c>
      <c r="G14" s="225">
        <f t="shared" ref="G14:M14" si="5">SUM(G8-G11)</f>
        <v>108334</v>
      </c>
      <c r="H14" s="225">
        <f t="shared" si="5"/>
        <v>-36896.940739266109</v>
      </c>
      <c r="I14" s="225">
        <f t="shared" si="5"/>
        <v>-278000</v>
      </c>
      <c r="J14" s="225">
        <f t="shared" si="5"/>
        <v>0</v>
      </c>
      <c r="K14" s="225">
        <f t="shared" si="5"/>
        <v>0</v>
      </c>
      <c r="L14" s="225">
        <f>SUM(L8-L11)</f>
        <v>0</v>
      </c>
      <c r="M14" s="225">
        <f t="shared" si="5"/>
        <v>0</v>
      </c>
      <c r="N14" s="225">
        <f t="shared" ref="N14:O14" si="6">SUM(N8-N11)</f>
        <v>0</v>
      </c>
      <c r="O14" s="225">
        <f t="shared" si="6"/>
        <v>0</v>
      </c>
    </row>
    <row r="15" spans="1:15" ht="18" x14ac:dyDescent="0.25">
      <c r="A15" s="5"/>
      <c r="B15" s="9"/>
      <c r="C15" s="9"/>
      <c r="D15" s="9"/>
      <c r="E15" s="9"/>
      <c r="F15" s="20"/>
      <c r="G15" s="9"/>
      <c r="H15" s="20"/>
      <c r="I15" s="3"/>
      <c r="J15" s="21"/>
      <c r="K15" s="3"/>
      <c r="L15" s="21"/>
      <c r="M15" s="21"/>
      <c r="N15" s="3"/>
    </row>
    <row r="16" spans="1:15" ht="18" customHeight="1" x14ac:dyDescent="0.25">
      <c r="A16" s="264" t="s">
        <v>36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1:15" ht="18" x14ac:dyDescent="0.25">
      <c r="A17" s="22"/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1"/>
      <c r="M17" s="21"/>
      <c r="N17" s="21"/>
      <c r="O17" s="21"/>
    </row>
    <row r="18" spans="1:15" ht="25.5" x14ac:dyDescent="0.25">
      <c r="A18" s="23"/>
      <c r="B18" s="24"/>
      <c r="C18" s="24"/>
      <c r="D18" s="25"/>
      <c r="E18" s="26"/>
      <c r="F18" s="4" t="s">
        <v>12</v>
      </c>
      <c r="G18" s="4" t="s">
        <v>12</v>
      </c>
      <c r="H18" s="4" t="s">
        <v>13</v>
      </c>
      <c r="I18" s="4" t="s">
        <v>13</v>
      </c>
      <c r="J18" s="4" t="s">
        <v>41</v>
      </c>
      <c r="K18" s="4" t="s">
        <v>41</v>
      </c>
      <c r="L18" s="4" t="s">
        <v>42</v>
      </c>
      <c r="M18" s="4" t="s">
        <v>42</v>
      </c>
      <c r="N18" s="4" t="s">
        <v>42</v>
      </c>
      <c r="O18" s="4" t="s">
        <v>43</v>
      </c>
    </row>
    <row r="19" spans="1:15" ht="15.75" customHeight="1" x14ac:dyDescent="0.25">
      <c r="A19" s="274" t="s">
        <v>8</v>
      </c>
      <c r="B19" s="275"/>
      <c r="C19" s="275"/>
      <c r="D19" s="275"/>
      <c r="E19" s="276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5">
      <c r="A20" s="274" t="s">
        <v>9</v>
      </c>
      <c r="B20" s="267"/>
      <c r="C20" s="267"/>
      <c r="D20" s="267"/>
      <c r="E20" s="267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25">
      <c r="A21" s="277" t="s">
        <v>10</v>
      </c>
      <c r="B21" s="278"/>
      <c r="C21" s="278"/>
      <c r="D21" s="278"/>
      <c r="E21" s="278"/>
      <c r="F21" s="27">
        <v>0</v>
      </c>
      <c r="G21" s="27"/>
      <c r="H21" s="27">
        <v>0</v>
      </c>
      <c r="I21" s="27"/>
      <c r="J21" s="27">
        <v>0</v>
      </c>
      <c r="K21" s="27"/>
      <c r="L21" s="27">
        <v>0</v>
      </c>
      <c r="M21" s="27"/>
      <c r="N21" s="27"/>
      <c r="O21" s="27">
        <v>0</v>
      </c>
    </row>
    <row r="22" spans="1:15" ht="18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1"/>
      <c r="N22" s="21"/>
      <c r="O22" s="21"/>
    </row>
    <row r="23" spans="1:15" ht="18" customHeight="1" x14ac:dyDescent="0.25">
      <c r="A23" s="264" t="s">
        <v>47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</row>
    <row r="24" spans="1:15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1"/>
      <c r="K24" s="21"/>
      <c r="L24" s="21"/>
      <c r="M24" s="21"/>
      <c r="N24" s="21"/>
      <c r="O24" s="21"/>
    </row>
    <row r="25" spans="1:15" ht="25.5" x14ac:dyDescent="0.25">
      <c r="A25" s="23"/>
      <c r="B25" s="24"/>
      <c r="C25" s="24"/>
      <c r="D25" s="25"/>
      <c r="E25" s="26"/>
      <c r="F25" s="4" t="s">
        <v>125</v>
      </c>
      <c r="G25" s="4" t="s">
        <v>126</v>
      </c>
      <c r="H25" s="4" t="s">
        <v>147</v>
      </c>
      <c r="I25" s="4" t="s">
        <v>129</v>
      </c>
      <c r="J25" s="4" t="s">
        <v>147</v>
      </c>
      <c r="K25" s="4" t="s">
        <v>129</v>
      </c>
      <c r="L25" s="4" t="s">
        <v>139</v>
      </c>
      <c r="M25" s="4" t="s">
        <v>140</v>
      </c>
      <c r="N25" s="4" t="s">
        <v>141</v>
      </c>
      <c r="O25" s="4" t="s">
        <v>142</v>
      </c>
    </row>
    <row r="26" spans="1:15" x14ac:dyDescent="0.25">
      <c r="A26" s="268" t="s">
        <v>37</v>
      </c>
      <c r="B26" s="269"/>
      <c r="C26" s="269"/>
      <c r="D26" s="269"/>
      <c r="E26" s="270"/>
      <c r="F26" s="31">
        <f>G26/7.5345</f>
        <v>22526.909549406064</v>
      </c>
      <c r="G26" s="31">
        <v>169729</v>
      </c>
      <c r="H26" s="31"/>
      <c r="I26" s="31"/>
      <c r="J26" s="31"/>
      <c r="K26" s="31"/>
      <c r="L26" s="31"/>
      <c r="M26" s="31"/>
      <c r="N26" s="31"/>
      <c r="O26" s="32"/>
    </row>
    <row r="27" spans="1:15" ht="30" customHeight="1" x14ac:dyDescent="0.25">
      <c r="A27" s="271" t="s">
        <v>7</v>
      </c>
      <c r="B27" s="272"/>
      <c r="C27" s="272"/>
      <c r="D27" s="272"/>
      <c r="E27" s="273"/>
      <c r="F27" s="31">
        <f>G27/7.5345</f>
        <v>0</v>
      </c>
      <c r="G27" s="33"/>
      <c r="H27" s="33">
        <f>I27/7.5345</f>
        <v>36896.940739266043</v>
      </c>
      <c r="I27" s="33">
        <v>278000</v>
      </c>
      <c r="J27" s="33">
        <f>I27/7.5345</f>
        <v>36896.940739266043</v>
      </c>
      <c r="K27" s="33"/>
      <c r="L27" s="33"/>
      <c r="M27" s="33"/>
      <c r="N27" s="33"/>
      <c r="O27" s="30"/>
    </row>
    <row r="30" spans="1:15" x14ac:dyDescent="0.25">
      <c r="A30" s="266" t="s">
        <v>11</v>
      </c>
      <c r="B30" s="267"/>
      <c r="C30" s="267"/>
      <c r="D30" s="267"/>
      <c r="E30" s="267"/>
      <c r="F30" s="29">
        <v>0</v>
      </c>
      <c r="G30" s="29"/>
      <c r="H30" s="29">
        <v>0</v>
      </c>
      <c r="I30" s="29"/>
      <c r="J30" s="29">
        <v>0</v>
      </c>
      <c r="K30" s="29"/>
      <c r="L30" s="29">
        <v>0</v>
      </c>
      <c r="M30" s="29"/>
      <c r="N30" s="29"/>
      <c r="O30" s="29">
        <v>0</v>
      </c>
    </row>
    <row r="31" spans="1:15" ht="11.25" customHeight="1" x14ac:dyDescent="0.25">
      <c r="A31" s="14"/>
      <c r="B31" s="15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29.25" customHeight="1" x14ac:dyDescent="0.25">
      <c r="A32" s="262" t="s">
        <v>48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</row>
    <row r="33" spans="1:15" ht="8.25" customHeight="1" x14ac:dyDescent="0.25"/>
    <row r="34" spans="1:15" x14ac:dyDescent="0.25">
      <c r="A34" s="262" t="s">
        <v>39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</row>
    <row r="35" spans="1:15" ht="8.25" customHeight="1" x14ac:dyDescent="0.25"/>
    <row r="36" spans="1:15" ht="29.25" customHeight="1" x14ac:dyDescent="0.25">
      <c r="A36" s="262" t="s">
        <v>40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</row>
    <row r="38" spans="1:15" x14ac:dyDescent="0.25">
      <c r="A38" s="141" t="s">
        <v>118</v>
      </c>
    </row>
  </sheetData>
  <sheetProtection algorithmName="SHA-512" hashValue="TgmyvEJpwOR1+noQ+2d/liaRHsj+DHJBJaFbZ7Mmv2PBiNrqaJtkxhroKo1Pord8QDTK/Zga6ceZ7otKbr8L7g==" saltValue="BscgpRx04x7CfcCjCeBNbw==" spinCount="100000" sheet="1" objects="1" scenarios="1"/>
  <mergeCells count="20">
    <mergeCell ref="A12:E12"/>
    <mergeCell ref="A5:O5"/>
    <mergeCell ref="A16:O16"/>
    <mergeCell ref="A1:O1"/>
    <mergeCell ref="A3:O3"/>
    <mergeCell ref="A8:E8"/>
    <mergeCell ref="A9:E9"/>
    <mergeCell ref="A10:E10"/>
    <mergeCell ref="A19:E19"/>
    <mergeCell ref="A20:E20"/>
    <mergeCell ref="A21:E21"/>
    <mergeCell ref="A13:E13"/>
    <mergeCell ref="A14:E14"/>
    <mergeCell ref="A36:O36"/>
    <mergeCell ref="A23:O23"/>
    <mergeCell ref="A32:O32"/>
    <mergeCell ref="A30:E30"/>
    <mergeCell ref="A34:O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8"/>
  <sheetViews>
    <sheetView workbookViewId="0">
      <selection activeCell="A3" sqref="A3:L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6" width="15.7109375" style="199" customWidth="1"/>
    <col min="7" max="8" width="15.7109375" style="54" customWidth="1"/>
    <col min="9" max="9" width="15.7109375" style="42" customWidth="1"/>
    <col min="10" max="10" width="15.7109375" style="48" customWidth="1"/>
    <col min="11" max="12" width="15.7109375" style="42" customWidth="1"/>
  </cols>
  <sheetData>
    <row r="1" spans="1:13" ht="42" customHeight="1" x14ac:dyDescent="0.25">
      <c r="A1" s="264" t="s">
        <v>150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3" ht="18" customHeight="1" x14ac:dyDescent="0.25">
      <c r="A2" s="5"/>
      <c r="B2" s="5"/>
      <c r="C2" s="5"/>
      <c r="D2" s="5"/>
      <c r="E2" s="204"/>
      <c r="F2" s="204"/>
      <c r="G2" s="164"/>
      <c r="H2" s="164"/>
      <c r="I2" s="22"/>
      <c r="J2" s="46"/>
      <c r="K2" s="22"/>
      <c r="L2" s="22"/>
    </row>
    <row r="3" spans="1:13" ht="15.75" x14ac:dyDescent="0.25">
      <c r="A3" s="264" t="s">
        <v>31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81"/>
    </row>
    <row r="4" spans="1:13" ht="18.75" x14ac:dyDescent="0.25">
      <c r="A4" s="5"/>
      <c r="B4" s="5"/>
      <c r="C4" s="5"/>
      <c r="D4" s="44"/>
      <c r="E4" s="204"/>
      <c r="F4" s="204"/>
      <c r="G4" s="164"/>
      <c r="H4" s="164"/>
      <c r="I4" s="22"/>
      <c r="J4" s="46"/>
      <c r="K4" s="22"/>
      <c r="L4" s="43"/>
    </row>
    <row r="5" spans="1:13" ht="18" customHeight="1" x14ac:dyDescent="0.25">
      <c r="A5" s="264" t="s">
        <v>15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3" ht="18" x14ac:dyDescent="0.25">
      <c r="A6" s="5"/>
      <c r="B6" s="5"/>
      <c r="C6" s="5"/>
      <c r="D6" s="5"/>
      <c r="E6" s="205">
        <v>7.5345000000000004</v>
      </c>
      <c r="F6" s="204"/>
      <c r="G6" s="164"/>
      <c r="H6" s="164"/>
      <c r="I6" s="22"/>
      <c r="J6" s="141" t="s">
        <v>118</v>
      </c>
      <c r="K6" s="22"/>
      <c r="L6" s="43"/>
    </row>
    <row r="7" spans="1:13" ht="15.75" x14ac:dyDescent="0.25">
      <c r="A7" s="264" t="s">
        <v>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13" ht="18" x14ac:dyDescent="0.25">
      <c r="A8" s="5"/>
      <c r="B8" s="5"/>
      <c r="C8" s="5"/>
      <c r="D8" s="5"/>
      <c r="E8" s="206" t="s">
        <v>51</v>
      </c>
      <c r="F8" s="206" t="s">
        <v>50</v>
      </c>
      <c r="G8" s="206" t="s">
        <v>51</v>
      </c>
      <c r="H8" s="206" t="s">
        <v>50</v>
      </c>
      <c r="I8" s="49" t="s">
        <v>50</v>
      </c>
      <c r="J8" s="49" t="s">
        <v>51</v>
      </c>
      <c r="K8" s="49" t="s">
        <v>50</v>
      </c>
      <c r="L8" s="50" t="s">
        <v>50</v>
      </c>
    </row>
    <row r="9" spans="1:13" ht="25.5" x14ac:dyDescent="0.25">
      <c r="A9" s="18" t="s">
        <v>16</v>
      </c>
      <c r="B9" s="17" t="s">
        <v>17</v>
      </c>
      <c r="C9" s="17" t="s">
        <v>18</v>
      </c>
      <c r="D9" s="17" t="s">
        <v>14</v>
      </c>
      <c r="E9" s="201" t="s">
        <v>12</v>
      </c>
      <c r="F9" s="201" t="s">
        <v>12</v>
      </c>
      <c r="G9" s="217" t="s">
        <v>13</v>
      </c>
      <c r="H9" s="217" t="s">
        <v>13</v>
      </c>
      <c r="I9" s="18" t="s">
        <v>41</v>
      </c>
      <c r="J9" s="47" t="s">
        <v>41</v>
      </c>
      <c r="K9" s="18" t="s">
        <v>42</v>
      </c>
      <c r="L9" s="18" t="s">
        <v>43</v>
      </c>
    </row>
    <row r="10" spans="1:13" s="87" customFormat="1" ht="15.75" customHeight="1" x14ac:dyDescent="0.25">
      <c r="A10" s="145">
        <v>6</v>
      </c>
      <c r="B10" s="145"/>
      <c r="C10" s="145"/>
      <c r="D10" s="145" t="s">
        <v>19</v>
      </c>
      <c r="E10" s="184">
        <f>+E11+E13+E17+E19+E23+E25+E27+E29+E21</f>
        <v>11676161.560000001</v>
      </c>
      <c r="F10" s="216">
        <f>+E10/$E$6</f>
        <v>1549692.9537461014</v>
      </c>
      <c r="G10" s="178">
        <f>+G11+G13+G15+G17+G19+G21+G23+G25+G27</f>
        <v>14488700</v>
      </c>
      <c r="H10" s="213">
        <f>+G10/$E$6</f>
        <v>1922980.9542769925</v>
      </c>
      <c r="I10" s="81">
        <f>+I11+I13+I15+I17+I19+I23+I25+I27</f>
        <v>1722675.9993363856</v>
      </c>
      <c r="J10" s="256">
        <f>+I10*E6</f>
        <v>12979502.316999998</v>
      </c>
      <c r="K10" s="81">
        <f>+K11+K13+K15+K17+K19+K23+K25+K27</f>
        <v>1722935.9993363856</v>
      </c>
      <c r="L10" s="81">
        <f>+L11+L13+L15+L17+L19+L23+L25+L27</f>
        <v>1722405.9993363856</v>
      </c>
    </row>
    <row r="11" spans="1:13" s="87" customFormat="1" ht="38.25" x14ac:dyDescent="0.25">
      <c r="A11" s="12"/>
      <c r="B11" s="218">
        <v>63</v>
      </c>
      <c r="C11" s="218"/>
      <c r="D11" s="218" t="s">
        <v>45</v>
      </c>
      <c r="E11" s="187">
        <v>7477646.7800000003</v>
      </c>
      <c r="F11" s="207">
        <f t="shared" ref="F11:F34" si="0">+E11/$E$6</f>
        <v>992454.28097418544</v>
      </c>
      <c r="G11" s="177">
        <v>9895000</v>
      </c>
      <c r="H11" s="209">
        <f t="shared" ref="H11:H34" si="1">+G11/$E$6</f>
        <v>1313292.1892627247</v>
      </c>
      <c r="I11" s="228">
        <f>+J11/$E$6</f>
        <v>1252799.9999999998</v>
      </c>
      <c r="J11" s="255">
        <v>9439221.5999999996</v>
      </c>
      <c r="K11" s="81">
        <f t="shared" ref="K11:K30" si="2">+I11</f>
        <v>1252799.9999999998</v>
      </c>
      <c r="L11" s="81">
        <f t="shared" ref="L11:L34" si="3">+K11</f>
        <v>1252799.9999999998</v>
      </c>
    </row>
    <row r="12" spans="1:13" s="54" customFormat="1" ht="38.25" x14ac:dyDescent="0.25">
      <c r="A12" s="193"/>
      <c r="B12" s="193"/>
      <c r="C12" s="194">
        <v>49</v>
      </c>
      <c r="D12" s="13" t="s">
        <v>106</v>
      </c>
      <c r="E12" s="190">
        <v>7477647</v>
      </c>
      <c r="F12" s="207">
        <f t="shared" si="0"/>
        <v>992454.31017320324</v>
      </c>
      <c r="G12" s="177">
        <f>+G11</f>
        <v>9895000</v>
      </c>
      <c r="H12" s="209">
        <f t="shared" si="1"/>
        <v>1313292.1892627247</v>
      </c>
      <c r="I12" s="228">
        <f t="shared" ref="I12:I34" si="4">+J12/$E$6</f>
        <v>1252799.9999999998</v>
      </c>
      <c r="J12" s="255">
        <v>9439221.5999999996</v>
      </c>
      <c r="K12" s="81">
        <f>+I12</f>
        <v>1252799.9999999998</v>
      </c>
      <c r="L12" s="81">
        <f t="shared" si="3"/>
        <v>1252799.9999999998</v>
      </c>
      <c r="M12" s="87"/>
    </row>
    <row r="13" spans="1:13" s="87" customFormat="1" ht="25.5" x14ac:dyDescent="0.25">
      <c r="A13" s="193"/>
      <c r="B13" s="193">
        <v>64</v>
      </c>
      <c r="C13" s="194"/>
      <c r="D13" s="218" t="s">
        <v>107</v>
      </c>
      <c r="E13" s="187">
        <v>11.85</v>
      </c>
      <c r="F13" s="207">
        <f t="shared" si="0"/>
        <v>1.5727652797133187</v>
      </c>
      <c r="G13" s="177">
        <v>0</v>
      </c>
      <c r="H13" s="209">
        <f t="shared" si="1"/>
        <v>0</v>
      </c>
      <c r="I13" s="228">
        <f t="shared" si="4"/>
        <v>49.999336385957925</v>
      </c>
      <c r="J13" s="255">
        <v>376.72</v>
      </c>
      <c r="K13" s="81">
        <f t="shared" si="2"/>
        <v>49.999336385957925</v>
      </c>
      <c r="L13" s="81">
        <f t="shared" si="3"/>
        <v>49.999336385957925</v>
      </c>
    </row>
    <row r="14" spans="1:13" s="54" customFormat="1" x14ac:dyDescent="0.25">
      <c r="A14" s="193"/>
      <c r="B14" s="193"/>
      <c r="C14" s="194">
        <v>25</v>
      </c>
      <c r="D14" s="13" t="s">
        <v>108</v>
      </c>
      <c r="E14" s="185">
        <f>+E13</f>
        <v>11.85</v>
      </c>
      <c r="F14" s="207">
        <f t="shared" si="0"/>
        <v>1.5727652797133187</v>
      </c>
      <c r="G14" s="177">
        <v>0</v>
      </c>
      <c r="H14" s="209">
        <f t="shared" si="1"/>
        <v>0</v>
      </c>
      <c r="I14" s="228">
        <f t="shared" si="4"/>
        <v>49.999336385957925</v>
      </c>
      <c r="J14" s="255">
        <v>376.72</v>
      </c>
      <c r="K14" s="81">
        <f t="shared" si="2"/>
        <v>49.999336385957925</v>
      </c>
      <c r="L14" s="81">
        <f t="shared" si="3"/>
        <v>49.999336385957925</v>
      </c>
    </row>
    <row r="15" spans="1:13" s="54" customFormat="1" ht="25.5" x14ac:dyDescent="0.25">
      <c r="A15" s="193"/>
      <c r="B15" s="193">
        <v>66</v>
      </c>
      <c r="C15" s="194"/>
      <c r="D15" s="13" t="s">
        <v>109</v>
      </c>
      <c r="E15" s="185">
        <v>0</v>
      </c>
      <c r="F15" s="207">
        <f t="shared" si="0"/>
        <v>0</v>
      </c>
      <c r="G15" s="177">
        <f>SUM(G16)</f>
        <v>10100</v>
      </c>
      <c r="H15" s="209">
        <f t="shared" si="1"/>
        <v>1340.5003649877231</v>
      </c>
      <c r="I15" s="228">
        <f t="shared" si="4"/>
        <v>0</v>
      </c>
      <c r="J15" s="255"/>
      <c r="K15" s="81">
        <f t="shared" si="2"/>
        <v>0</v>
      </c>
      <c r="L15" s="81">
        <f t="shared" si="3"/>
        <v>0</v>
      </c>
    </row>
    <row r="16" spans="1:13" s="54" customFormat="1" x14ac:dyDescent="0.25">
      <c r="A16" s="193"/>
      <c r="B16" s="193"/>
      <c r="C16" s="194">
        <v>25</v>
      </c>
      <c r="D16" s="13" t="s">
        <v>108</v>
      </c>
      <c r="E16" s="185">
        <v>0</v>
      </c>
      <c r="F16" s="207">
        <f t="shared" si="0"/>
        <v>0</v>
      </c>
      <c r="G16" s="177">
        <v>10100</v>
      </c>
      <c r="H16" s="209">
        <f t="shared" si="1"/>
        <v>1340.5003649877231</v>
      </c>
      <c r="I16" s="228">
        <f t="shared" si="4"/>
        <v>0</v>
      </c>
      <c r="J16" s="255"/>
      <c r="K16" s="81">
        <f t="shared" si="2"/>
        <v>0</v>
      </c>
      <c r="L16" s="81">
        <f t="shared" si="3"/>
        <v>0</v>
      </c>
    </row>
    <row r="17" spans="1:12" s="54" customFormat="1" ht="38.25" x14ac:dyDescent="0.25">
      <c r="A17" s="193"/>
      <c r="B17" s="193">
        <v>63</v>
      </c>
      <c r="C17" s="194"/>
      <c r="D17" s="13" t="s">
        <v>45</v>
      </c>
      <c r="E17" s="185">
        <v>1080783.17</v>
      </c>
      <c r="F17" s="207">
        <f t="shared" si="0"/>
        <v>143444.5776096622</v>
      </c>
      <c r="G17" s="177">
        <v>581500</v>
      </c>
      <c r="H17" s="209">
        <f t="shared" si="1"/>
        <v>77178.31309310504</v>
      </c>
      <c r="I17" s="228">
        <v>40530</v>
      </c>
      <c r="J17" s="255">
        <f>I17*7.5345</f>
        <v>305373.28500000003</v>
      </c>
      <c r="K17" s="81">
        <v>40790</v>
      </c>
      <c r="L17" s="81">
        <v>40260</v>
      </c>
    </row>
    <row r="18" spans="1:12" s="54" customFormat="1" ht="25.5" x14ac:dyDescent="0.25">
      <c r="A18" s="193"/>
      <c r="B18" s="193"/>
      <c r="C18" s="194">
        <v>55</v>
      </c>
      <c r="D18" s="13" t="s">
        <v>110</v>
      </c>
      <c r="E18" s="185">
        <f>+E17</f>
        <v>1080783.17</v>
      </c>
      <c r="F18" s="207">
        <f t="shared" si="0"/>
        <v>143444.5776096622</v>
      </c>
      <c r="G18" s="177">
        <f>+G17</f>
        <v>581500</v>
      </c>
      <c r="H18" s="209">
        <f t="shared" si="1"/>
        <v>77178.31309310504</v>
      </c>
      <c r="I18" s="228">
        <v>40530</v>
      </c>
      <c r="J18" s="255">
        <f>I18*7.5345</f>
        <v>305373.28500000003</v>
      </c>
      <c r="K18" s="81">
        <v>0</v>
      </c>
      <c r="L18" s="81">
        <v>260</v>
      </c>
    </row>
    <row r="19" spans="1:12" s="54" customFormat="1" ht="25.5" x14ac:dyDescent="0.25">
      <c r="A19" s="193"/>
      <c r="B19" s="193">
        <v>65</v>
      </c>
      <c r="C19" s="194"/>
      <c r="D19" s="13" t="s">
        <v>111</v>
      </c>
      <c r="E19" s="185">
        <f>+E20</f>
        <v>369888.56</v>
      </c>
      <c r="F19" s="207">
        <f t="shared" si="0"/>
        <v>49092.648483641911</v>
      </c>
      <c r="G19" s="177">
        <v>599600</v>
      </c>
      <c r="H19" s="209">
        <f t="shared" si="1"/>
        <v>79580.595925409783</v>
      </c>
      <c r="I19" s="228">
        <v>46790</v>
      </c>
      <c r="J19" s="255">
        <f>I19*7.5345</f>
        <v>352539.255</v>
      </c>
      <c r="K19" s="81">
        <f t="shared" si="2"/>
        <v>46790</v>
      </c>
      <c r="L19" s="81">
        <f t="shared" si="3"/>
        <v>46790</v>
      </c>
    </row>
    <row r="20" spans="1:12" s="54" customFormat="1" ht="25.5" x14ac:dyDescent="0.25">
      <c r="A20" s="193"/>
      <c r="B20" s="193"/>
      <c r="C20" s="194">
        <v>55</v>
      </c>
      <c r="D20" s="13" t="s">
        <v>110</v>
      </c>
      <c r="E20" s="185">
        <v>369888.56</v>
      </c>
      <c r="F20" s="207">
        <f t="shared" si="0"/>
        <v>49092.648483641911</v>
      </c>
      <c r="G20" s="177">
        <f>+G19</f>
        <v>599600</v>
      </c>
      <c r="H20" s="209">
        <f t="shared" si="1"/>
        <v>79580.595925409783</v>
      </c>
      <c r="I20" s="228">
        <v>46790</v>
      </c>
      <c r="J20" s="255">
        <f>I20*7.5345</f>
        <v>352539.255</v>
      </c>
      <c r="K20" s="81">
        <f t="shared" si="2"/>
        <v>46790</v>
      </c>
      <c r="L20" s="81">
        <f t="shared" si="3"/>
        <v>46790</v>
      </c>
    </row>
    <row r="21" spans="1:12" s="54" customFormat="1" ht="25.5" x14ac:dyDescent="0.25">
      <c r="A21" s="193"/>
      <c r="B21" s="193">
        <v>66</v>
      </c>
      <c r="C21" s="194"/>
      <c r="D21" s="13" t="s">
        <v>109</v>
      </c>
      <c r="E21" s="185">
        <v>154534.85</v>
      </c>
      <c r="F21" s="207">
        <f t="shared" si="0"/>
        <v>20510.299289932973</v>
      </c>
      <c r="G21" s="177">
        <v>0</v>
      </c>
      <c r="H21" s="209">
        <f t="shared" si="1"/>
        <v>0</v>
      </c>
      <c r="I21" s="55"/>
      <c r="J21" s="255">
        <v>0</v>
      </c>
      <c r="K21" s="81">
        <f t="shared" si="2"/>
        <v>0</v>
      </c>
      <c r="L21" s="81">
        <f t="shared" si="3"/>
        <v>0</v>
      </c>
    </row>
    <row r="22" spans="1:12" s="54" customFormat="1" ht="25.5" x14ac:dyDescent="0.25">
      <c r="A22" s="193"/>
      <c r="B22" s="193"/>
      <c r="C22" s="194">
        <v>55</v>
      </c>
      <c r="D22" s="13" t="s">
        <v>110</v>
      </c>
      <c r="E22" s="185"/>
      <c r="F22" s="207">
        <f t="shared" si="0"/>
        <v>0</v>
      </c>
      <c r="G22" s="177">
        <f>+G21</f>
        <v>0</v>
      </c>
      <c r="H22" s="209">
        <f t="shared" si="1"/>
        <v>0</v>
      </c>
      <c r="I22" s="228">
        <f t="shared" si="4"/>
        <v>0</v>
      </c>
      <c r="J22" s="255">
        <v>0</v>
      </c>
      <c r="K22" s="81">
        <f t="shared" si="2"/>
        <v>0</v>
      </c>
      <c r="L22" s="81">
        <f t="shared" si="3"/>
        <v>0</v>
      </c>
    </row>
    <row r="23" spans="1:12" s="87" customFormat="1" ht="38.25" x14ac:dyDescent="0.25">
      <c r="A23" s="193"/>
      <c r="B23" s="193">
        <v>67</v>
      </c>
      <c r="C23" s="194"/>
      <c r="D23" s="13" t="s">
        <v>112</v>
      </c>
      <c r="E23" s="185">
        <v>1414630</v>
      </c>
      <c r="F23" s="207">
        <f t="shared" si="0"/>
        <v>187753.66646758246</v>
      </c>
      <c r="G23" s="177">
        <v>2091000</v>
      </c>
      <c r="H23" s="209">
        <f t="shared" si="1"/>
        <v>277523.39239498304</v>
      </c>
      <c r="I23" s="228">
        <v>223238</v>
      </c>
      <c r="J23" s="255">
        <f t="shared" ref="J23:J28" si="5">I23*7.5345</f>
        <v>1681986.7110000001</v>
      </c>
      <c r="K23" s="81">
        <f t="shared" si="2"/>
        <v>223238</v>
      </c>
      <c r="L23" s="81">
        <f t="shared" si="3"/>
        <v>223238</v>
      </c>
    </row>
    <row r="24" spans="1:12" s="87" customFormat="1" x14ac:dyDescent="0.25">
      <c r="A24" s="193"/>
      <c r="B24" s="193"/>
      <c r="C24" s="194">
        <v>11</v>
      </c>
      <c r="D24" s="13" t="s">
        <v>113</v>
      </c>
      <c r="E24" s="185">
        <v>1414630.49</v>
      </c>
      <c r="F24" s="207">
        <f t="shared" si="0"/>
        <v>187753.73150175856</v>
      </c>
      <c r="G24" s="177">
        <f>+G23</f>
        <v>2091000</v>
      </c>
      <c r="H24" s="209">
        <f t="shared" si="1"/>
        <v>277523.39239498304</v>
      </c>
      <c r="I24" s="228">
        <v>223238</v>
      </c>
      <c r="J24" s="255">
        <f t="shared" si="5"/>
        <v>1681986.7110000001</v>
      </c>
      <c r="K24" s="81">
        <f t="shared" si="2"/>
        <v>223238</v>
      </c>
      <c r="L24" s="81">
        <f t="shared" si="3"/>
        <v>223238</v>
      </c>
    </row>
    <row r="25" spans="1:12" s="87" customFormat="1" ht="38.25" x14ac:dyDescent="0.25">
      <c r="A25" s="193"/>
      <c r="B25" s="193">
        <v>67</v>
      </c>
      <c r="C25" s="194"/>
      <c r="D25" s="13" t="s">
        <v>112</v>
      </c>
      <c r="E25" s="185">
        <v>913000</v>
      </c>
      <c r="F25" s="207">
        <f t="shared" si="0"/>
        <v>121175.92408255358</v>
      </c>
      <c r="G25" s="177">
        <v>861000</v>
      </c>
      <c r="H25" s="209">
        <f t="shared" si="1"/>
        <v>114274.33804499303</v>
      </c>
      <c r="I25" s="228">
        <v>117858</v>
      </c>
      <c r="J25" s="255">
        <f t="shared" si="5"/>
        <v>888001.10100000002</v>
      </c>
      <c r="K25" s="81">
        <f t="shared" si="2"/>
        <v>117858</v>
      </c>
      <c r="L25" s="81">
        <f t="shared" si="3"/>
        <v>117858</v>
      </c>
    </row>
    <row r="26" spans="1:12" s="87" customFormat="1" x14ac:dyDescent="0.25">
      <c r="A26" s="193"/>
      <c r="B26" s="193"/>
      <c r="C26" s="194">
        <v>31</v>
      </c>
      <c r="D26" s="13" t="s">
        <v>99</v>
      </c>
      <c r="E26" s="185">
        <f>+E25</f>
        <v>913000</v>
      </c>
      <c r="F26" s="207">
        <f t="shared" si="0"/>
        <v>121175.92408255358</v>
      </c>
      <c r="G26" s="177">
        <v>861000</v>
      </c>
      <c r="H26" s="209">
        <f t="shared" si="1"/>
        <v>114274.33804499303</v>
      </c>
      <c r="I26" s="228">
        <v>117858</v>
      </c>
      <c r="J26" s="255">
        <f t="shared" si="5"/>
        <v>888001.10100000002</v>
      </c>
      <c r="K26" s="81">
        <f t="shared" si="2"/>
        <v>117858</v>
      </c>
      <c r="L26" s="81">
        <f t="shared" si="3"/>
        <v>117858</v>
      </c>
    </row>
    <row r="27" spans="1:12" s="87" customFormat="1" ht="40.5" customHeight="1" x14ac:dyDescent="0.25">
      <c r="A27" s="193"/>
      <c r="B27" s="193">
        <v>67</v>
      </c>
      <c r="C27" s="194"/>
      <c r="D27" s="13" t="s">
        <v>112</v>
      </c>
      <c r="E27" s="185">
        <v>264092.18</v>
      </c>
      <c r="F27" s="207">
        <f t="shared" si="0"/>
        <v>35051.055809940939</v>
      </c>
      <c r="G27" s="177">
        <v>450500</v>
      </c>
      <c r="H27" s="209">
        <f t="shared" si="1"/>
        <v>59791.625190789033</v>
      </c>
      <c r="I27" s="228">
        <v>41410</v>
      </c>
      <c r="J27" s="255">
        <f t="shared" si="5"/>
        <v>312003.64500000002</v>
      </c>
      <c r="K27" s="81">
        <v>41410</v>
      </c>
      <c r="L27" s="81">
        <f t="shared" si="3"/>
        <v>41410</v>
      </c>
    </row>
    <row r="28" spans="1:12" s="87" customFormat="1" x14ac:dyDescent="0.25">
      <c r="A28" s="193"/>
      <c r="B28" s="193"/>
      <c r="C28" s="194">
        <v>44</v>
      </c>
      <c r="D28" s="13" t="s">
        <v>98</v>
      </c>
      <c r="E28" s="185">
        <f>+E27</f>
        <v>264092.18</v>
      </c>
      <c r="F28" s="207">
        <f t="shared" si="0"/>
        <v>35051.055809940939</v>
      </c>
      <c r="G28" s="177">
        <f>+G27</f>
        <v>450500</v>
      </c>
      <c r="H28" s="209">
        <f t="shared" si="1"/>
        <v>59791.625190789033</v>
      </c>
      <c r="I28" s="228">
        <v>41410</v>
      </c>
      <c r="J28" s="255">
        <f t="shared" si="5"/>
        <v>312003.64500000002</v>
      </c>
      <c r="K28" s="81">
        <v>41410</v>
      </c>
      <c r="L28" s="81">
        <f t="shared" si="3"/>
        <v>41410</v>
      </c>
    </row>
    <row r="29" spans="1:12" s="54" customFormat="1" ht="38.25" x14ac:dyDescent="0.25">
      <c r="A29" s="193"/>
      <c r="B29" s="193">
        <v>67</v>
      </c>
      <c r="C29" s="194"/>
      <c r="D29" s="13" t="s">
        <v>112</v>
      </c>
      <c r="E29" s="185">
        <v>1574.17</v>
      </c>
      <c r="F29" s="207">
        <f t="shared" si="0"/>
        <v>208.92826332205189</v>
      </c>
      <c r="G29" s="177">
        <v>0</v>
      </c>
      <c r="H29" s="209">
        <f t="shared" si="1"/>
        <v>0</v>
      </c>
      <c r="I29" s="228">
        <f t="shared" si="4"/>
        <v>0</v>
      </c>
      <c r="J29" s="255">
        <v>0</v>
      </c>
      <c r="K29" s="81">
        <f t="shared" si="2"/>
        <v>0</v>
      </c>
      <c r="L29" s="81">
        <f t="shared" si="3"/>
        <v>0</v>
      </c>
    </row>
    <row r="30" spans="1:12" s="54" customFormat="1" x14ac:dyDescent="0.25">
      <c r="A30" s="193"/>
      <c r="B30" s="193"/>
      <c r="C30" s="194">
        <v>42</v>
      </c>
      <c r="D30" s="13" t="s">
        <v>98</v>
      </c>
      <c r="E30" s="185">
        <f>+E29</f>
        <v>1574.17</v>
      </c>
      <c r="F30" s="207">
        <f t="shared" si="0"/>
        <v>208.92826332205189</v>
      </c>
      <c r="G30" s="177">
        <v>0</v>
      </c>
      <c r="H30" s="209">
        <f t="shared" si="1"/>
        <v>0</v>
      </c>
      <c r="I30" s="228">
        <f t="shared" si="4"/>
        <v>0</v>
      </c>
      <c r="J30" s="255">
        <v>0</v>
      </c>
      <c r="K30" s="81">
        <f t="shared" si="2"/>
        <v>0</v>
      </c>
      <c r="L30" s="81">
        <f t="shared" si="3"/>
        <v>0</v>
      </c>
    </row>
    <row r="31" spans="1:12" s="87" customFormat="1" ht="25.5" x14ac:dyDescent="0.25">
      <c r="A31" s="219">
        <v>7</v>
      </c>
      <c r="B31" s="220"/>
      <c r="C31" s="220"/>
      <c r="D31" s="202" t="s">
        <v>21</v>
      </c>
      <c r="E31" s="184">
        <f>+E33+E32</f>
        <v>29160</v>
      </c>
      <c r="F31" s="207">
        <f t="shared" si="0"/>
        <v>3870.1970933704956</v>
      </c>
      <c r="G31" s="178">
        <f>+G33</f>
        <v>2000</v>
      </c>
      <c r="H31" s="209">
        <f t="shared" si="1"/>
        <v>265.44561682925212</v>
      </c>
      <c r="I31" s="228">
        <f t="shared" si="4"/>
        <v>260</v>
      </c>
      <c r="J31" s="255">
        <v>1958.97</v>
      </c>
      <c r="K31" s="81"/>
      <c r="L31" s="81">
        <f t="shared" si="3"/>
        <v>0</v>
      </c>
    </row>
    <row r="32" spans="1:12" s="87" customFormat="1" ht="25.5" x14ac:dyDescent="0.25">
      <c r="A32" s="221"/>
      <c r="B32" s="222">
        <v>71</v>
      </c>
      <c r="C32" s="222"/>
      <c r="D32" s="203" t="s">
        <v>132</v>
      </c>
      <c r="E32" s="187">
        <v>27000</v>
      </c>
      <c r="F32" s="207">
        <f t="shared" si="0"/>
        <v>3583.5158271949031</v>
      </c>
      <c r="G32" s="177">
        <v>0</v>
      </c>
      <c r="H32" s="209">
        <v>0</v>
      </c>
      <c r="I32" s="85"/>
      <c r="J32" s="255"/>
      <c r="K32" s="59"/>
      <c r="L32" s="113"/>
    </row>
    <row r="33" spans="1:12" s="87" customFormat="1" ht="38.25" x14ac:dyDescent="0.25">
      <c r="A33" s="218"/>
      <c r="B33" s="218">
        <v>72</v>
      </c>
      <c r="C33" s="218"/>
      <c r="D33" s="203" t="s">
        <v>44</v>
      </c>
      <c r="E33" s="187">
        <v>2160</v>
      </c>
      <c r="F33" s="207">
        <f t="shared" si="0"/>
        <v>286.68126617559227</v>
      </c>
      <c r="G33" s="177">
        <v>2000</v>
      </c>
      <c r="H33" s="209">
        <f t="shared" si="1"/>
        <v>265.44561682925212</v>
      </c>
      <c r="I33" s="228">
        <f t="shared" si="4"/>
        <v>260</v>
      </c>
      <c r="J33" s="255">
        <v>1958.97</v>
      </c>
      <c r="K33" s="53"/>
      <c r="L33" s="81">
        <f t="shared" si="3"/>
        <v>0</v>
      </c>
    </row>
    <row r="34" spans="1:12" s="87" customFormat="1" ht="27.75" customHeight="1" x14ac:dyDescent="0.25">
      <c r="A34" s="218"/>
      <c r="B34" s="218"/>
      <c r="C34" s="194">
        <v>55</v>
      </c>
      <c r="D34" s="194" t="s">
        <v>121</v>
      </c>
      <c r="E34" s="190">
        <f>+E33</f>
        <v>2160</v>
      </c>
      <c r="F34" s="207">
        <f t="shared" si="0"/>
        <v>286.68126617559227</v>
      </c>
      <c r="G34" s="177">
        <v>2000</v>
      </c>
      <c r="H34" s="209">
        <f t="shared" si="1"/>
        <v>265.44561682925212</v>
      </c>
      <c r="I34" s="228">
        <f t="shared" si="4"/>
        <v>260</v>
      </c>
      <c r="J34" s="255">
        <v>1958.97</v>
      </c>
      <c r="K34" s="53"/>
      <c r="L34" s="81">
        <f t="shared" si="3"/>
        <v>0</v>
      </c>
    </row>
    <row r="35" spans="1:12" s="54" customFormat="1" x14ac:dyDescent="0.25">
      <c r="A35" s="199">
        <v>7.5345000000000004</v>
      </c>
      <c r="B35" s="199"/>
      <c r="C35" s="199"/>
      <c r="D35" s="199"/>
      <c r="E35" s="199"/>
      <c r="F35" s="199"/>
      <c r="G35" s="199"/>
      <c r="H35" s="199"/>
      <c r="I35" s="223"/>
      <c r="J35" s="224"/>
      <c r="K35" s="223"/>
      <c r="L35" s="223"/>
    </row>
    <row r="36" spans="1:12" s="87" customFormat="1" ht="15.75" x14ac:dyDescent="0.25">
      <c r="A36" s="286" t="s">
        <v>22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</row>
    <row r="37" spans="1:12" s="87" customFormat="1" ht="18" x14ac:dyDescent="0.25">
      <c r="A37" s="97"/>
      <c r="B37" s="97"/>
      <c r="C37" s="97"/>
      <c r="D37" s="97"/>
      <c r="E37" s="200" t="s">
        <v>51</v>
      </c>
      <c r="F37" s="200" t="s">
        <v>50</v>
      </c>
      <c r="G37" s="156" t="s">
        <v>51</v>
      </c>
      <c r="H37" s="156" t="s">
        <v>50</v>
      </c>
      <c r="I37" s="156" t="s">
        <v>50</v>
      </c>
      <c r="J37" s="157" t="s">
        <v>51</v>
      </c>
      <c r="K37" s="156" t="s">
        <v>50</v>
      </c>
      <c r="L37" s="156" t="s">
        <v>50</v>
      </c>
    </row>
    <row r="38" spans="1:12" s="87" customFormat="1" ht="25.5" x14ac:dyDescent="0.25">
      <c r="A38" s="104" t="s">
        <v>16</v>
      </c>
      <c r="B38" s="101" t="s">
        <v>17</v>
      </c>
      <c r="C38" s="101" t="s">
        <v>18</v>
      </c>
      <c r="D38" s="101" t="s">
        <v>23</v>
      </c>
      <c r="E38" s="201" t="s">
        <v>12</v>
      </c>
      <c r="F38" s="201" t="s">
        <v>12</v>
      </c>
      <c r="G38" s="104" t="s">
        <v>13</v>
      </c>
      <c r="H38" s="104" t="s">
        <v>13</v>
      </c>
      <c r="I38" s="104" t="s">
        <v>41</v>
      </c>
      <c r="J38" s="104" t="s">
        <v>41</v>
      </c>
      <c r="K38" s="104" t="s">
        <v>42</v>
      </c>
      <c r="L38" s="104" t="s">
        <v>43</v>
      </c>
    </row>
    <row r="39" spans="1:12" s="87" customFormat="1" ht="15.75" customHeight="1" x14ac:dyDescent="0.25">
      <c r="A39" s="145">
        <v>3</v>
      </c>
      <c r="B39" s="145"/>
      <c r="C39" s="145"/>
      <c r="D39" s="145" t="s">
        <v>24</v>
      </c>
      <c r="E39" s="184">
        <f>+E40+E42+E44+E49+E51+E57+E59+E61+E63+E65+E76+E46+E70+E72+E74+E53+E78+E48</f>
        <v>11000326.130000001</v>
      </c>
      <c r="F39" s="178">
        <f>+E39/$E$6</f>
        <v>1459994.177450395</v>
      </c>
      <c r="G39" s="178">
        <f>G40+G42+G44+G46+G48+G49+G51+G57+G59+G63+G65+G67+G72+G74+G76+G78+G70+G47</f>
        <v>14260700</v>
      </c>
      <c r="H39" s="198">
        <f>G39/'POSEBNI DIO'!$F$4</f>
        <v>1892720.1539584578</v>
      </c>
      <c r="I39" s="81">
        <f>+I40+I42+I44+I49+I51+I58+I60+I63+I65+I67+I76</f>
        <v>1656172.9993363859</v>
      </c>
      <c r="J39" s="196">
        <f>+I39*$A$35</f>
        <v>12478435.463500001</v>
      </c>
      <c r="K39" s="81">
        <f t="shared" ref="K39" si="6">+K40+K42+K44+K49+K51+K58+K60+K63+K65+K67+K76</f>
        <v>1655642.9993363856</v>
      </c>
      <c r="L39" s="81">
        <f>+L40+L42+L44+L49+L51+L58+L60+L63+L65+L67+L76+L74</f>
        <v>1655902.9993363856</v>
      </c>
    </row>
    <row r="40" spans="1:12" s="87" customFormat="1" ht="15.75" customHeight="1" x14ac:dyDescent="0.25">
      <c r="A40" s="145"/>
      <c r="B40" s="146">
        <v>31</v>
      </c>
      <c r="C40" s="146"/>
      <c r="D40" s="146" t="s">
        <v>25</v>
      </c>
      <c r="E40" s="187">
        <v>1155870</v>
      </c>
      <c r="F40" s="177">
        <f>+E40/$E$6</f>
        <v>153410.3125622138</v>
      </c>
      <c r="G40" s="177">
        <v>1512000</v>
      </c>
      <c r="H40" s="197">
        <f>G40/'POSEBNI DIO'!$F$4</f>
        <v>200676.88632291459</v>
      </c>
      <c r="I40" s="131">
        <f>+'POSEBNI DIO'!J65+'POSEBNI DIO'!J90+'POSEBNI DIO'!J96</f>
        <v>205028</v>
      </c>
      <c r="J40" s="154">
        <f t="shared" ref="J40:J85" si="7">+I40*$A$35</f>
        <v>1544783.466</v>
      </c>
      <c r="K40" s="81">
        <f t="shared" ref="K40:K81" si="8">+J40/$A$35</f>
        <v>205028</v>
      </c>
      <c r="L40" s="81">
        <f>+K40</f>
        <v>205028</v>
      </c>
    </row>
    <row r="41" spans="1:12" s="87" customFormat="1" x14ac:dyDescent="0.25">
      <c r="A41" s="147"/>
      <c r="B41" s="147"/>
      <c r="C41" s="148">
        <v>11</v>
      </c>
      <c r="D41" s="148" t="s">
        <v>20</v>
      </c>
      <c r="E41" s="190">
        <f>+E40</f>
        <v>1155870</v>
      </c>
      <c r="F41" s="177">
        <f t="shared" ref="F41:F85" si="9">+E41/$E$6</f>
        <v>153410.3125622138</v>
      </c>
      <c r="G41" s="177">
        <f>+G40</f>
        <v>1512000</v>
      </c>
      <c r="H41" s="197">
        <f>G41/'POSEBNI DIO'!$F$4</f>
        <v>200676.88632291459</v>
      </c>
      <c r="I41" s="131">
        <v>205028</v>
      </c>
      <c r="J41" s="154">
        <f t="shared" si="7"/>
        <v>1544783.466</v>
      </c>
      <c r="K41" s="81">
        <f t="shared" si="8"/>
        <v>205028</v>
      </c>
      <c r="L41" s="81">
        <f t="shared" ref="L41:L81" si="10">+K41</f>
        <v>205028</v>
      </c>
    </row>
    <row r="42" spans="1:12" s="87" customFormat="1" x14ac:dyDescent="0.25">
      <c r="A42" s="147"/>
      <c r="B42" s="147">
        <v>32</v>
      </c>
      <c r="C42" s="148"/>
      <c r="D42" s="147" t="s">
        <v>34</v>
      </c>
      <c r="E42" s="191">
        <v>48753</v>
      </c>
      <c r="F42" s="177">
        <f t="shared" si="9"/>
        <v>6470.6350786382636</v>
      </c>
      <c r="G42" s="177">
        <v>444500</v>
      </c>
      <c r="H42" s="197">
        <f>G42/7.5345</f>
        <v>58995.288340301275</v>
      </c>
      <c r="I42" s="131">
        <v>18210</v>
      </c>
      <c r="J42" s="154">
        <f t="shared" si="7"/>
        <v>137203.245</v>
      </c>
      <c r="K42" s="81">
        <f t="shared" si="8"/>
        <v>18210</v>
      </c>
      <c r="L42" s="81">
        <f t="shared" si="10"/>
        <v>18210</v>
      </c>
    </row>
    <row r="43" spans="1:12" s="87" customFormat="1" x14ac:dyDescent="0.25">
      <c r="A43" s="147"/>
      <c r="B43" s="147"/>
      <c r="C43" s="148">
        <v>11</v>
      </c>
      <c r="D43" s="148" t="s">
        <v>20</v>
      </c>
      <c r="E43" s="190">
        <f>+E42</f>
        <v>48753</v>
      </c>
      <c r="F43" s="177">
        <f t="shared" si="9"/>
        <v>6470.6350786382636</v>
      </c>
      <c r="G43" s="177">
        <v>444500</v>
      </c>
      <c r="H43" s="197">
        <f t="shared" ref="H43:H48" si="11">G43/7.5345</f>
        <v>58995.288340301275</v>
      </c>
      <c r="I43" s="131">
        <v>18210</v>
      </c>
      <c r="J43" s="154">
        <f t="shared" si="7"/>
        <v>137203.245</v>
      </c>
      <c r="K43" s="81">
        <f t="shared" si="8"/>
        <v>18210</v>
      </c>
      <c r="L43" s="81">
        <f t="shared" si="10"/>
        <v>18210</v>
      </c>
    </row>
    <row r="44" spans="1:12" s="54" customFormat="1" x14ac:dyDescent="0.25">
      <c r="A44" s="56"/>
      <c r="B44" s="193">
        <v>37</v>
      </c>
      <c r="C44" s="194"/>
      <c r="D44" s="194" t="s">
        <v>101</v>
      </c>
      <c r="E44" s="190">
        <v>198555</v>
      </c>
      <c r="F44" s="177">
        <f t="shared" si="9"/>
        <v>26352.777224766076</v>
      </c>
      <c r="G44" s="177">
        <f>+'POSEBNI DIO'!G48+'POSEBNI DIO'!G67</f>
        <v>123000</v>
      </c>
      <c r="H44" s="197">
        <f t="shared" si="11"/>
        <v>16324.905434999004</v>
      </c>
      <c r="I44" s="258">
        <f>+'POSEBNI DIO'!J67</f>
        <v>0</v>
      </c>
      <c r="J44" s="154">
        <f t="shared" si="7"/>
        <v>0</v>
      </c>
      <c r="K44" s="81">
        <f t="shared" si="8"/>
        <v>0</v>
      </c>
      <c r="L44" s="81">
        <f t="shared" si="10"/>
        <v>0</v>
      </c>
    </row>
    <row r="45" spans="1:12" s="54" customFormat="1" x14ac:dyDescent="0.25">
      <c r="A45" s="56"/>
      <c r="B45" s="193"/>
      <c r="C45" s="194">
        <v>11</v>
      </c>
      <c r="D45" s="194" t="s">
        <v>20</v>
      </c>
      <c r="E45" s="190">
        <v>198555</v>
      </c>
      <c r="F45" s="177">
        <f t="shared" si="9"/>
        <v>26352.777224766076</v>
      </c>
      <c r="G45" s="177">
        <f>+G44</f>
        <v>123000</v>
      </c>
      <c r="H45" s="197">
        <f t="shared" si="11"/>
        <v>16324.905434999004</v>
      </c>
      <c r="I45" s="131">
        <f>+I44</f>
        <v>0</v>
      </c>
      <c r="J45" s="154">
        <f t="shared" si="7"/>
        <v>0</v>
      </c>
      <c r="K45" s="81">
        <f t="shared" si="8"/>
        <v>0</v>
      </c>
      <c r="L45" s="81">
        <f t="shared" si="10"/>
        <v>0</v>
      </c>
    </row>
    <row r="46" spans="1:12" s="54" customFormat="1" x14ac:dyDescent="0.25">
      <c r="A46" s="56"/>
      <c r="B46" s="193">
        <v>34</v>
      </c>
      <c r="C46" s="194">
        <v>11</v>
      </c>
      <c r="D46" s="194" t="s">
        <v>131</v>
      </c>
      <c r="E46" s="190">
        <v>11452</v>
      </c>
      <c r="F46" s="177">
        <f t="shared" si="9"/>
        <v>1519.9416019642974</v>
      </c>
      <c r="G46" s="177">
        <v>11500</v>
      </c>
      <c r="H46" s="197">
        <f t="shared" si="11"/>
        <v>1526.3122967681995</v>
      </c>
      <c r="I46" s="131"/>
      <c r="J46" s="154"/>
      <c r="K46" s="81"/>
      <c r="L46" s="81"/>
    </row>
    <row r="47" spans="1:12" s="54" customFormat="1" x14ac:dyDescent="0.25">
      <c r="A47" s="56"/>
      <c r="B47" s="193">
        <v>31</v>
      </c>
      <c r="C47" s="194">
        <v>29</v>
      </c>
      <c r="D47" s="194" t="s">
        <v>25</v>
      </c>
      <c r="E47" s="190"/>
      <c r="F47" s="177">
        <f t="shared" si="9"/>
        <v>0</v>
      </c>
      <c r="G47" s="177">
        <v>68000</v>
      </c>
      <c r="H47" s="197">
        <f t="shared" si="11"/>
        <v>9025.1509721945713</v>
      </c>
      <c r="I47" s="131"/>
      <c r="J47" s="154"/>
      <c r="K47" s="81"/>
      <c r="L47" s="81"/>
    </row>
    <row r="48" spans="1:12" s="54" customFormat="1" x14ac:dyDescent="0.25">
      <c r="A48" s="56"/>
      <c r="B48" s="193">
        <v>32</v>
      </c>
      <c r="C48" s="194">
        <v>29</v>
      </c>
      <c r="D48" s="194" t="s">
        <v>34</v>
      </c>
      <c r="E48" s="190">
        <v>142212</v>
      </c>
      <c r="F48" s="177">
        <f t="shared" si="9"/>
        <v>18874.7760302608</v>
      </c>
      <c r="G48" s="177">
        <v>164500</v>
      </c>
      <c r="H48" s="197">
        <f t="shared" si="11"/>
        <v>21832.901984205986</v>
      </c>
      <c r="I48" s="131"/>
      <c r="J48" s="154"/>
      <c r="K48" s="81"/>
      <c r="L48" s="81"/>
    </row>
    <row r="49" spans="1:12" s="87" customFormat="1" x14ac:dyDescent="0.25">
      <c r="A49" s="147"/>
      <c r="B49" s="147">
        <v>31</v>
      </c>
      <c r="C49" s="148">
        <v>49</v>
      </c>
      <c r="D49" s="148" t="s">
        <v>25</v>
      </c>
      <c r="E49" s="190">
        <f>+'POSEBNI DIO'!E25</f>
        <v>7355485.9400000004</v>
      </c>
      <c r="F49" s="177">
        <f t="shared" si="9"/>
        <v>976240.7512110956</v>
      </c>
      <c r="G49" s="177">
        <f>+G50</f>
        <v>9710000</v>
      </c>
      <c r="H49" s="197">
        <f>G49/'POSEBNI DIO'!$F$4</f>
        <v>1288738.4697060189</v>
      </c>
      <c r="I49" s="131">
        <f>+'POSEBNI DIO'!J25</f>
        <v>1227800</v>
      </c>
      <c r="J49" s="154">
        <f t="shared" si="7"/>
        <v>9250859.0999999996</v>
      </c>
      <c r="K49" s="81">
        <f t="shared" si="8"/>
        <v>1227799.9999999998</v>
      </c>
      <c r="L49" s="81">
        <f t="shared" si="10"/>
        <v>1227799.9999999998</v>
      </c>
    </row>
    <row r="50" spans="1:12" s="87" customFormat="1" ht="38.25" x14ac:dyDescent="0.25">
      <c r="A50" s="147"/>
      <c r="B50" s="147">
        <v>31</v>
      </c>
      <c r="C50" s="148">
        <v>49</v>
      </c>
      <c r="D50" s="149" t="s">
        <v>97</v>
      </c>
      <c r="E50" s="190">
        <f>+E49</f>
        <v>7355485.9400000004</v>
      </c>
      <c r="F50" s="177">
        <f t="shared" si="9"/>
        <v>976240.7512110956</v>
      </c>
      <c r="G50" s="177">
        <f>+'POSEBNI DIO'!G25</f>
        <v>9710000</v>
      </c>
      <c r="H50" s="197">
        <f>G50/'POSEBNI DIO'!$F$4</f>
        <v>1288738.4697060189</v>
      </c>
      <c r="I50" s="131">
        <v>1227800</v>
      </c>
      <c r="J50" s="154">
        <f t="shared" si="7"/>
        <v>9250859.0999999996</v>
      </c>
      <c r="K50" s="81">
        <f t="shared" si="8"/>
        <v>1227799.9999999998</v>
      </c>
      <c r="L50" s="81">
        <f t="shared" si="10"/>
        <v>1227799.9999999998</v>
      </c>
    </row>
    <row r="51" spans="1:12" s="87" customFormat="1" x14ac:dyDescent="0.25">
      <c r="A51" s="147"/>
      <c r="B51" s="147">
        <v>32</v>
      </c>
      <c r="C51" s="148"/>
      <c r="D51" s="148" t="s">
        <v>34</v>
      </c>
      <c r="E51" s="190">
        <f>+'POSEBNI DIO'!E26</f>
        <v>122160.84</v>
      </c>
      <c r="F51" s="177">
        <f t="shared" si="9"/>
        <v>16213.529763089786</v>
      </c>
      <c r="G51" s="177">
        <f>+'POSEBNI DIO'!G26</f>
        <v>185000</v>
      </c>
      <c r="H51" s="197">
        <f>G51/'POSEBNI DIO'!$F$4</f>
        <v>24553.719556705819</v>
      </c>
      <c r="I51" s="131">
        <f>+'POSEBNI DIO'!J26</f>
        <v>25000</v>
      </c>
      <c r="J51" s="154">
        <f t="shared" si="7"/>
        <v>188362.5</v>
      </c>
      <c r="K51" s="81">
        <f t="shared" si="8"/>
        <v>25000</v>
      </c>
      <c r="L51" s="81">
        <f t="shared" si="10"/>
        <v>25000</v>
      </c>
    </row>
    <row r="52" spans="1:12" s="87" customFormat="1" ht="38.25" x14ac:dyDescent="0.25">
      <c r="A52" s="147"/>
      <c r="B52" s="147"/>
      <c r="C52" s="148">
        <v>49</v>
      </c>
      <c r="D52" s="149" t="s">
        <v>97</v>
      </c>
      <c r="E52" s="190">
        <f>+E51</f>
        <v>122160.84</v>
      </c>
      <c r="F52" s="177">
        <f t="shared" si="9"/>
        <v>16213.529763089786</v>
      </c>
      <c r="G52" s="177">
        <f>+G51</f>
        <v>185000</v>
      </c>
      <c r="H52" s="197">
        <f>G52/'POSEBNI DIO'!$F$4</f>
        <v>24553.719556705819</v>
      </c>
      <c r="I52" s="131">
        <f>+I51</f>
        <v>25000</v>
      </c>
      <c r="J52" s="154">
        <f t="shared" si="7"/>
        <v>188362.5</v>
      </c>
      <c r="K52" s="81">
        <f t="shared" si="8"/>
        <v>25000</v>
      </c>
      <c r="L52" s="81">
        <f t="shared" si="10"/>
        <v>25000</v>
      </c>
    </row>
    <row r="53" spans="1:12" s="87" customFormat="1" hidden="1" x14ac:dyDescent="0.25">
      <c r="A53" s="147"/>
      <c r="B53" s="147">
        <v>32</v>
      </c>
      <c r="C53" s="148">
        <v>42</v>
      </c>
      <c r="D53" s="149" t="s">
        <v>34</v>
      </c>
      <c r="E53" s="190"/>
      <c r="F53" s="177"/>
      <c r="G53" s="51"/>
      <c r="H53" s="59"/>
      <c r="I53" s="131"/>
      <c r="J53" s="154"/>
      <c r="K53" s="81"/>
      <c r="L53" s="53"/>
    </row>
    <row r="54" spans="1:12" s="87" customFormat="1" hidden="1" x14ac:dyDescent="0.25">
      <c r="A54" s="147"/>
      <c r="B54" s="147"/>
      <c r="C54" s="148"/>
      <c r="D54" s="149"/>
      <c r="E54" s="190"/>
      <c r="F54" s="177"/>
      <c r="G54" s="51"/>
      <c r="H54" s="59"/>
      <c r="I54" s="131"/>
      <c r="J54" s="154"/>
      <c r="K54" s="81"/>
      <c r="L54" s="53"/>
    </row>
    <row r="55" spans="1:12" s="87" customFormat="1" hidden="1" x14ac:dyDescent="0.25">
      <c r="A55" s="147"/>
      <c r="B55" s="147"/>
      <c r="C55" s="148"/>
      <c r="D55" s="149"/>
      <c r="E55" s="190"/>
      <c r="F55" s="177"/>
      <c r="G55" s="51"/>
      <c r="H55" s="59"/>
      <c r="I55" s="131"/>
      <c r="J55" s="154"/>
      <c r="K55" s="81"/>
      <c r="L55" s="53"/>
    </row>
    <row r="56" spans="1:12" s="87" customFormat="1" hidden="1" x14ac:dyDescent="0.25">
      <c r="A56" s="147"/>
      <c r="B56" s="147"/>
      <c r="C56" s="148"/>
      <c r="D56" s="149"/>
      <c r="E56" s="190"/>
      <c r="F56" s="177"/>
      <c r="G56" s="51"/>
      <c r="H56" s="59"/>
      <c r="I56" s="131"/>
      <c r="J56" s="154"/>
      <c r="K56" s="81"/>
      <c r="L56" s="53"/>
    </row>
    <row r="57" spans="1:12" s="87" customFormat="1" x14ac:dyDescent="0.25">
      <c r="A57" s="147"/>
      <c r="B57" s="147">
        <v>31</v>
      </c>
      <c r="C57" s="148"/>
      <c r="D57" s="148" t="s">
        <v>25</v>
      </c>
      <c r="E57" s="190">
        <f>+'POSEBNI DIO'!E100</f>
        <v>235074</v>
      </c>
      <c r="F57" s="177">
        <f t="shared" si="9"/>
        <v>31199.681465259804</v>
      </c>
      <c r="G57" s="177">
        <f>+'POSEBNI DIO'!G100</f>
        <v>389500</v>
      </c>
      <c r="H57" s="197">
        <f>G57/'POSEBNI DIO'!$F$4</f>
        <v>51695.533877496848</v>
      </c>
      <c r="I57" s="131">
        <f>+'POSEBNI DIO'!J100</f>
        <v>33250</v>
      </c>
      <c r="J57" s="154">
        <f t="shared" si="7"/>
        <v>250522.125</v>
      </c>
      <c r="K57" s="81">
        <f t="shared" si="8"/>
        <v>33250</v>
      </c>
      <c r="L57" s="81">
        <f t="shared" si="10"/>
        <v>33250</v>
      </c>
    </row>
    <row r="58" spans="1:12" s="87" customFormat="1" x14ac:dyDescent="0.25">
      <c r="A58" s="147"/>
      <c r="B58" s="147"/>
      <c r="C58" s="148">
        <v>44</v>
      </c>
      <c r="D58" s="148" t="s">
        <v>98</v>
      </c>
      <c r="E58" s="190">
        <f>+E57</f>
        <v>235074</v>
      </c>
      <c r="F58" s="177">
        <f t="shared" si="9"/>
        <v>31199.681465259804</v>
      </c>
      <c r="G58" s="177">
        <f>+G57</f>
        <v>389500</v>
      </c>
      <c r="H58" s="197">
        <f>G58/'POSEBNI DIO'!$F$4</f>
        <v>51695.533877496848</v>
      </c>
      <c r="I58" s="131">
        <f>+I57</f>
        <v>33250</v>
      </c>
      <c r="J58" s="154">
        <f t="shared" si="7"/>
        <v>250522.125</v>
      </c>
      <c r="K58" s="81">
        <f t="shared" si="8"/>
        <v>33250</v>
      </c>
      <c r="L58" s="81">
        <f t="shared" si="10"/>
        <v>33250</v>
      </c>
    </row>
    <row r="59" spans="1:12" s="87" customFormat="1" x14ac:dyDescent="0.25">
      <c r="A59" s="147"/>
      <c r="B59" s="147">
        <v>32</v>
      </c>
      <c r="C59" s="148"/>
      <c r="D59" s="148" t="s">
        <v>34</v>
      </c>
      <c r="E59" s="190">
        <f>+'POSEBNI DIO'!E101+'POSEBNI DIO'!E135</f>
        <v>29018.18</v>
      </c>
      <c r="F59" s="177">
        <f t="shared" si="9"/>
        <v>3851.3743446811332</v>
      </c>
      <c r="G59" s="177">
        <f>+'POSEBNI DIO'!G101+'POSEBNI DIO'!G135</f>
        <v>61000</v>
      </c>
      <c r="H59" s="197">
        <f>G59/'POSEBNI DIO'!$F$4</f>
        <v>8096.0913132921887</v>
      </c>
      <c r="I59" s="131">
        <v>8160</v>
      </c>
      <c r="J59" s="154">
        <f t="shared" si="7"/>
        <v>61481.520000000004</v>
      </c>
      <c r="K59" s="81">
        <f t="shared" si="8"/>
        <v>8160</v>
      </c>
      <c r="L59" s="81">
        <f t="shared" si="10"/>
        <v>8160</v>
      </c>
    </row>
    <row r="60" spans="1:12" s="87" customFormat="1" x14ac:dyDescent="0.25">
      <c r="A60" s="147"/>
      <c r="B60" s="147"/>
      <c r="C60" s="148">
        <v>44</v>
      </c>
      <c r="D60" s="148" t="s">
        <v>98</v>
      </c>
      <c r="E60" s="190">
        <f>+E59</f>
        <v>29018.18</v>
      </c>
      <c r="F60" s="177">
        <f t="shared" si="9"/>
        <v>3851.3743446811332</v>
      </c>
      <c r="G60" s="177">
        <f>+G59</f>
        <v>61000</v>
      </c>
      <c r="H60" s="197">
        <f>G60/'POSEBNI DIO'!$F$4</f>
        <v>8096.0913132921887</v>
      </c>
      <c r="I60" s="131">
        <v>8160</v>
      </c>
      <c r="J60" s="154">
        <f t="shared" si="7"/>
        <v>61481.520000000004</v>
      </c>
      <c r="K60" s="81">
        <f t="shared" si="8"/>
        <v>8160</v>
      </c>
      <c r="L60" s="81">
        <f t="shared" si="10"/>
        <v>8160</v>
      </c>
    </row>
    <row r="61" spans="1:12" s="199" customFormat="1" x14ac:dyDescent="0.25">
      <c r="A61" s="193"/>
      <c r="B61" s="193">
        <v>32</v>
      </c>
      <c r="C61" s="194"/>
      <c r="D61" s="194" t="s">
        <v>34</v>
      </c>
      <c r="E61" s="190">
        <f>+'POSEBNI DIO'!E137</f>
        <v>1574.17</v>
      </c>
      <c r="F61" s="177">
        <f t="shared" si="9"/>
        <v>208.92826332205189</v>
      </c>
      <c r="G61" s="177">
        <v>0</v>
      </c>
      <c r="H61" s="197">
        <f>G61/'POSEBNI DIO'!$F$4</f>
        <v>0</v>
      </c>
      <c r="I61" s="131"/>
      <c r="J61" s="154">
        <f t="shared" si="7"/>
        <v>0</v>
      </c>
      <c r="K61" s="81">
        <f t="shared" si="8"/>
        <v>0</v>
      </c>
      <c r="L61" s="81">
        <f t="shared" si="10"/>
        <v>0</v>
      </c>
    </row>
    <row r="62" spans="1:12" s="199" customFormat="1" x14ac:dyDescent="0.25">
      <c r="A62" s="193"/>
      <c r="B62" s="193"/>
      <c r="C62" s="194">
        <v>42</v>
      </c>
      <c r="D62" s="194" t="s">
        <v>98</v>
      </c>
      <c r="E62" s="190">
        <f>+E61</f>
        <v>1574.17</v>
      </c>
      <c r="F62" s="177">
        <f t="shared" si="9"/>
        <v>208.92826332205189</v>
      </c>
      <c r="G62" s="177">
        <v>0</v>
      </c>
      <c r="H62" s="197">
        <f>G62/'POSEBNI DIO'!$F$4</f>
        <v>0</v>
      </c>
      <c r="I62" s="131"/>
      <c r="J62" s="154">
        <f t="shared" si="7"/>
        <v>0</v>
      </c>
      <c r="K62" s="81">
        <f t="shared" si="8"/>
        <v>0</v>
      </c>
      <c r="L62" s="81">
        <f t="shared" si="10"/>
        <v>0</v>
      </c>
    </row>
    <row r="63" spans="1:12" s="87" customFormat="1" x14ac:dyDescent="0.25">
      <c r="A63" s="147"/>
      <c r="B63" s="147">
        <v>32</v>
      </c>
      <c r="C63" s="148"/>
      <c r="D63" s="148" t="s">
        <v>34</v>
      </c>
      <c r="E63" s="190">
        <f>+'POSEBNI DIO'!E11</f>
        <v>706604.1</v>
      </c>
      <c r="F63" s="177">
        <f t="shared" si="9"/>
        <v>93782.480589289262</v>
      </c>
      <c r="G63" s="177">
        <v>703500</v>
      </c>
      <c r="H63" s="197">
        <f>G63/'POSEBNI DIO'!$F$4</f>
        <v>93370.495719689425</v>
      </c>
      <c r="I63" s="131">
        <f>+'POSEBNI DIO'!J11</f>
        <v>90425</v>
      </c>
      <c r="J63" s="154">
        <f t="shared" si="7"/>
        <v>681307.16250000009</v>
      </c>
      <c r="K63" s="81">
        <f t="shared" si="8"/>
        <v>90425.000000000015</v>
      </c>
      <c r="L63" s="81">
        <f t="shared" si="10"/>
        <v>90425.000000000015</v>
      </c>
    </row>
    <row r="64" spans="1:12" s="87" customFormat="1" x14ac:dyDescent="0.25">
      <c r="A64" s="147"/>
      <c r="B64" s="147"/>
      <c r="C64" s="148">
        <v>31</v>
      </c>
      <c r="D64" s="148" t="s">
        <v>99</v>
      </c>
      <c r="E64" s="190">
        <f>+E63</f>
        <v>706604.1</v>
      </c>
      <c r="F64" s="177">
        <f t="shared" si="9"/>
        <v>93782.480589289262</v>
      </c>
      <c r="G64" s="177">
        <v>703500</v>
      </c>
      <c r="H64" s="197">
        <f>G64/'POSEBNI DIO'!$F$4</f>
        <v>93370.495719689425</v>
      </c>
      <c r="I64" s="131">
        <f>+I63</f>
        <v>90425</v>
      </c>
      <c r="J64" s="154">
        <f t="shared" si="7"/>
        <v>681307.16250000009</v>
      </c>
      <c r="K64" s="81">
        <f t="shared" si="8"/>
        <v>90425.000000000015</v>
      </c>
      <c r="L64" s="81">
        <f t="shared" si="10"/>
        <v>90425.000000000015</v>
      </c>
    </row>
    <row r="65" spans="1:12" s="87" customFormat="1" x14ac:dyDescent="0.25">
      <c r="A65" s="147"/>
      <c r="B65" s="147">
        <v>34</v>
      </c>
      <c r="C65" s="148"/>
      <c r="D65" s="148" t="s">
        <v>49</v>
      </c>
      <c r="E65" s="190">
        <f>+'POSEBNI DIO'!E12</f>
        <v>8395.9</v>
      </c>
      <c r="F65" s="177">
        <f t="shared" si="9"/>
        <v>1114.3274271683588</v>
      </c>
      <c r="G65" s="177">
        <v>7500</v>
      </c>
      <c r="H65" s="197">
        <f>G65/'POSEBNI DIO'!$F$4</f>
        <v>995.4210631096953</v>
      </c>
      <c r="I65" s="131">
        <f>+'POSEBNI DIO'!J12</f>
        <v>929.99933638595792</v>
      </c>
      <c r="J65" s="154">
        <f t="shared" si="7"/>
        <v>7007.08</v>
      </c>
      <c r="K65" s="81">
        <f t="shared" si="8"/>
        <v>929.99933638595792</v>
      </c>
      <c r="L65" s="81">
        <f t="shared" si="10"/>
        <v>929.99933638595792</v>
      </c>
    </row>
    <row r="66" spans="1:12" s="87" customFormat="1" x14ac:dyDescent="0.25">
      <c r="A66" s="147"/>
      <c r="B66" s="147"/>
      <c r="C66" s="148">
        <v>31</v>
      </c>
      <c r="D66" s="148" t="s">
        <v>99</v>
      </c>
      <c r="E66" s="190">
        <f>+E65</f>
        <v>8395.9</v>
      </c>
      <c r="F66" s="177">
        <f t="shared" si="9"/>
        <v>1114.3274271683588</v>
      </c>
      <c r="G66" s="177">
        <v>7500</v>
      </c>
      <c r="H66" s="197">
        <f>G66/'POSEBNI DIO'!$F$4</f>
        <v>995.4210631096953</v>
      </c>
      <c r="I66" s="131">
        <f>+I65</f>
        <v>929.99933638595792</v>
      </c>
      <c r="J66" s="154">
        <f t="shared" si="7"/>
        <v>7007.08</v>
      </c>
      <c r="K66" s="81">
        <f t="shared" si="8"/>
        <v>929.99933638595792</v>
      </c>
      <c r="L66" s="81">
        <f t="shared" si="10"/>
        <v>929.99933638595792</v>
      </c>
    </row>
    <row r="67" spans="1:12" s="87" customFormat="1" x14ac:dyDescent="0.25">
      <c r="A67" s="147"/>
      <c r="B67" s="147">
        <v>32</v>
      </c>
      <c r="C67" s="148"/>
      <c r="D67" s="148" t="s">
        <v>34</v>
      </c>
      <c r="E67" s="190">
        <v>0</v>
      </c>
      <c r="F67" s="177">
        <f t="shared" si="9"/>
        <v>0</v>
      </c>
      <c r="G67" s="177">
        <v>100</v>
      </c>
      <c r="H67" s="197">
        <f>G67/'POSEBNI DIO'!$F$4</f>
        <v>13.272280841462605</v>
      </c>
      <c r="I67" s="131">
        <f>+'POSEBNI DIO'!J31</f>
        <v>50</v>
      </c>
      <c r="J67" s="154">
        <f t="shared" si="7"/>
        <v>376.72500000000002</v>
      </c>
      <c r="K67" s="81">
        <f t="shared" si="8"/>
        <v>50</v>
      </c>
      <c r="L67" s="81">
        <f t="shared" si="10"/>
        <v>50</v>
      </c>
    </row>
    <row r="68" spans="1:12" s="87" customFormat="1" x14ac:dyDescent="0.25">
      <c r="A68" s="147"/>
      <c r="B68" s="147"/>
      <c r="C68" s="148">
        <v>25</v>
      </c>
      <c r="D68" s="148" t="s">
        <v>100</v>
      </c>
      <c r="E68" s="190">
        <v>0</v>
      </c>
      <c r="F68" s="177">
        <f t="shared" si="9"/>
        <v>0</v>
      </c>
      <c r="G68" s="177">
        <f>+G67</f>
        <v>100</v>
      </c>
      <c r="H68" s="197">
        <f>G68/'POSEBNI DIO'!$F$4</f>
        <v>13.272280841462605</v>
      </c>
      <c r="I68" s="81">
        <f>+I67</f>
        <v>50</v>
      </c>
      <c r="J68" s="154">
        <f t="shared" si="7"/>
        <v>376.72500000000002</v>
      </c>
      <c r="K68" s="81">
        <f t="shared" si="8"/>
        <v>50</v>
      </c>
      <c r="L68" s="81">
        <f t="shared" si="10"/>
        <v>50</v>
      </c>
    </row>
    <row r="69" spans="1:12" s="87" customFormat="1" x14ac:dyDescent="0.25">
      <c r="A69" s="147"/>
      <c r="B69" s="147"/>
      <c r="C69" s="148"/>
      <c r="D69" s="148"/>
      <c r="E69" s="190"/>
      <c r="F69" s="177"/>
      <c r="G69" s="51"/>
      <c r="H69" s="59"/>
      <c r="I69" s="81"/>
      <c r="J69" s="154"/>
      <c r="K69" s="81"/>
      <c r="L69" s="81"/>
    </row>
    <row r="70" spans="1:12" s="54" customFormat="1" x14ac:dyDescent="0.25">
      <c r="A70" s="56"/>
      <c r="B70" s="193">
        <v>31</v>
      </c>
      <c r="C70" s="194"/>
      <c r="D70" s="194" t="s">
        <v>25</v>
      </c>
      <c r="E70" s="190">
        <v>335453</v>
      </c>
      <c r="F70" s="177">
        <f t="shared" si="9"/>
        <v>44522.264251111548</v>
      </c>
      <c r="G70" s="177">
        <v>133500</v>
      </c>
      <c r="H70" s="197">
        <f>G70/'POSEBNI DIO'!$F$4</f>
        <v>17718.494923352577</v>
      </c>
      <c r="I70" s="81">
        <v>0</v>
      </c>
      <c r="J70" s="154">
        <f t="shared" si="7"/>
        <v>0</v>
      </c>
      <c r="K70" s="81">
        <f t="shared" si="8"/>
        <v>0</v>
      </c>
      <c r="L70" s="81">
        <f t="shared" si="10"/>
        <v>0</v>
      </c>
    </row>
    <row r="71" spans="1:12" s="54" customFormat="1" x14ac:dyDescent="0.25">
      <c r="A71" s="56"/>
      <c r="B71" s="193"/>
      <c r="C71" s="194">
        <v>55</v>
      </c>
      <c r="D71" s="194" t="s">
        <v>102</v>
      </c>
      <c r="E71" s="190">
        <v>335453</v>
      </c>
      <c r="F71" s="177">
        <f t="shared" si="9"/>
        <v>44522.264251111548</v>
      </c>
      <c r="G71" s="177">
        <f>+G70</f>
        <v>133500</v>
      </c>
      <c r="H71" s="197">
        <f>G71/'POSEBNI DIO'!$F$4</f>
        <v>17718.494923352577</v>
      </c>
      <c r="I71" s="81">
        <v>0</v>
      </c>
      <c r="J71" s="154">
        <f t="shared" si="7"/>
        <v>0</v>
      </c>
      <c r="K71" s="81">
        <f t="shared" si="8"/>
        <v>0</v>
      </c>
      <c r="L71" s="81">
        <f t="shared" si="10"/>
        <v>0</v>
      </c>
    </row>
    <row r="72" spans="1:12" s="54" customFormat="1" x14ac:dyDescent="0.25">
      <c r="A72" s="56"/>
      <c r="B72" s="193">
        <v>32</v>
      </c>
      <c r="C72" s="194"/>
      <c r="D72" s="194" t="s">
        <v>34</v>
      </c>
      <c r="E72" s="190"/>
      <c r="F72" s="177">
        <f t="shared" si="9"/>
        <v>0</v>
      </c>
      <c r="G72" s="177"/>
      <c r="H72" s="197">
        <f>G72/'POSEBNI DIO'!$F$4</f>
        <v>0</v>
      </c>
      <c r="I72" s="81">
        <v>0</v>
      </c>
      <c r="J72" s="154">
        <f t="shared" si="7"/>
        <v>0</v>
      </c>
      <c r="K72" s="81">
        <f t="shared" si="8"/>
        <v>0</v>
      </c>
      <c r="L72" s="81">
        <f t="shared" si="10"/>
        <v>0</v>
      </c>
    </row>
    <row r="73" spans="1:12" s="54" customFormat="1" x14ac:dyDescent="0.25">
      <c r="A73" s="56"/>
      <c r="B73" s="193"/>
      <c r="C73" s="194">
        <v>55</v>
      </c>
      <c r="D73" s="194" t="s">
        <v>102</v>
      </c>
      <c r="E73" s="190">
        <v>0</v>
      </c>
      <c r="F73" s="177">
        <f t="shared" si="9"/>
        <v>0</v>
      </c>
      <c r="G73" s="177"/>
      <c r="H73" s="197">
        <f>G73/'POSEBNI DIO'!$F$4</f>
        <v>0</v>
      </c>
      <c r="I73" s="81">
        <v>0</v>
      </c>
      <c r="J73" s="154">
        <f t="shared" si="7"/>
        <v>0</v>
      </c>
      <c r="K73" s="81">
        <f t="shared" si="8"/>
        <v>0</v>
      </c>
      <c r="L73" s="81">
        <f t="shared" si="10"/>
        <v>0</v>
      </c>
    </row>
    <row r="74" spans="1:12" s="54" customFormat="1" x14ac:dyDescent="0.25">
      <c r="A74" s="56"/>
      <c r="B74" s="193">
        <v>34</v>
      </c>
      <c r="C74" s="194"/>
      <c r="D74" s="194" t="s">
        <v>49</v>
      </c>
      <c r="E74" s="190">
        <v>94061</v>
      </c>
      <c r="F74" s="177">
        <f t="shared" si="9"/>
        <v>12484.04008228814</v>
      </c>
      <c r="G74" s="177">
        <v>37500</v>
      </c>
      <c r="H74" s="197">
        <f>G74/'POSEBNI DIO'!$F$4</f>
        <v>4977.1053155484769</v>
      </c>
      <c r="I74" s="81">
        <v>0</v>
      </c>
      <c r="J74" s="154">
        <f t="shared" si="7"/>
        <v>0</v>
      </c>
      <c r="K74" s="81">
        <f t="shared" si="8"/>
        <v>0</v>
      </c>
      <c r="L74" s="81">
        <v>260</v>
      </c>
    </row>
    <row r="75" spans="1:12" s="54" customFormat="1" x14ac:dyDescent="0.25">
      <c r="A75" s="56"/>
      <c r="B75" s="193"/>
      <c r="C75" s="194">
        <v>55</v>
      </c>
      <c r="D75" s="194" t="s">
        <v>102</v>
      </c>
      <c r="E75" s="190">
        <v>94061</v>
      </c>
      <c r="F75" s="177">
        <f t="shared" si="9"/>
        <v>12484.04008228814</v>
      </c>
      <c r="G75" s="177">
        <v>37500</v>
      </c>
      <c r="H75" s="197">
        <f>G75/'POSEBNI DIO'!$F$4</f>
        <v>4977.1053155484769</v>
      </c>
      <c r="I75" s="81">
        <v>0</v>
      </c>
      <c r="J75" s="154">
        <f t="shared" si="7"/>
        <v>0</v>
      </c>
      <c r="K75" s="81">
        <f t="shared" si="8"/>
        <v>0</v>
      </c>
      <c r="L75" s="81">
        <v>260</v>
      </c>
    </row>
    <row r="76" spans="1:12" s="87" customFormat="1" x14ac:dyDescent="0.25">
      <c r="A76" s="147"/>
      <c r="B76" s="147">
        <v>32</v>
      </c>
      <c r="C76" s="148"/>
      <c r="D76" s="148" t="s">
        <v>34</v>
      </c>
      <c r="E76" s="190">
        <v>515346</v>
      </c>
      <c r="F76" s="177">
        <f t="shared" si="9"/>
        <v>68398.168425243872</v>
      </c>
      <c r="G76" s="177">
        <v>589600</v>
      </c>
      <c r="H76" s="197">
        <f>G76/'POSEBNI DIO'!$F$4</f>
        <v>78253.36784126352</v>
      </c>
      <c r="I76" s="81">
        <v>47320</v>
      </c>
      <c r="J76" s="154">
        <f t="shared" si="7"/>
        <v>356532.54000000004</v>
      </c>
      <c r="K76" s="81">
        <v>46790</v>
      </c>
      <c r="L76" s="81">
        <f t="shared" si="10"/>
        <v>46790</v>
      </c>
    </row>
    <row r="77" spans="1:12" s="87" customFormat="1" x14ac:dyDescent="0.25">
      <c r="A77" s="147"/>
      <c r="B77" s="155"/>
      <c r="C77" s="148">
        <v>55</v>
      </c>
      <c r="D77" s="148" t="s">
        <v>102</v>
      </c>
      <c r="E77" s="190">
        <f>+E76</f>
        <v>515346</v>
      </c>
      <c r="F77" s="177">
        <f t="shared" si="9"/>
        <v>68398.168425243872</v>
      </c>
      <c r="G77" s="177">
        <v>589600</v>
      </c>
      <c r="H77" s="197">
        <f>G77/'POSEBNI DIO'!$F$4</f>
        <v>78253.36784126352</v>
      </c>
      <c r="I77" s="81">
        <f>+I76</f>
        <v>47320</v>
      </c>
      <c r="J77" s="154">
        <f t="shared" si="7"/>
        <v>356532.54000000004</v>
      </c>
      <c r="K77" s="81">
        <v>46790</v>
      </c>
      <c r="L77" s="81">
        <f t="shared" si="10"/>
        <v>46790</v>
      </c>
    </row>
    <row r="78" spans="1:12" s="87" customFormat="1" x14ac:dyDescent="0.25">
      <c r="A78" s="147"/>
      <c r="B78" s="147">
        <v>37</v>
      </c>
      <c r="C78" s="148">
        <v>55</v>
      </c>
      <c r="D78" s="148" t="s">
        <v>122</v>
      </c>
      <c r="E78" s="190">
        <v>40311</v>
      </c>
      <c r="F78" s="177">
        <f t="shared" si="9"/>
        <v>5350.1891300019906</v>
      </c>
      <c r="G78" s="177">
        <v>120000</v>
      </c>
      <c r="H78" s="197">
        <f>G78/7.5345</f>
        <v>15926.737009755125</v>
      </c>
      <c r="I78" s="81"/>
      <c r="J78" s="154"/>
      <c r="K78" s="81"/>
      <c r="L78" s="53"/>
    </row>
    <row r="79" spans="1:12" s="87" customFormat="1" ht="25.5" x14ac:dyDescent="0.25">
      <c r="A79" s="150">
        <v>4</v>
      </c>
      <c r="B79" s="151"/>
      <c r="C79" s="151"/>
      <c r="D79" s="152" t="s">
        <v>26</v>
      </c>
      <c r="E79" s="195">
        <f>+E80+E82</f>
        <v>596662</v>
      </c>
      <c r="F79" s="178">
        <f>+E79/$E$6</f>
        <v>79190.656314287611</v>
      </c>
      <c r="G79" s="178">
        <f>+G80+G82+G84+G86</f>
        <v>508000</v>
      </c>
      <c r="H79" s="198">
        <f>G79/'POSEBNI DIO'!$F$4</f>
        <v>67423.186674630037</v>
      </c>
      <c r="I79" s="81">
        <f>+I80+I82+I84</f>
        <v>66763</v>
      </c>
      <c r="J79" s="196">
        <f>I79*7.5345</f>
        <v>503025.82350000006</v>
      </c>
      <c r="K79" s="81">
        <v>67293</v>
      </c>
      <c r="L79" s="81">
        <f>SUM(L81+L82)</f>
        <v>66503</v>
      </c>
    </row>
    <row r="80" spans="1:12" s="87" customFormat="1" ht="25.5" x14ac:dyDescent="0.25">
      <c r="A80" s="146"/>
      <c r="B80" s="146">
        <v>42</v>
      </c>
      <c r="C80" s="146"/>
      <c r="D80" s="153" t="s">
        <v>103</v>
      </c>
      <c r="E80" s="187">
        <f>+'POSEBNI DIO'!E141</f>
        <v>198000</v>
      </c>
      <c r="F80" s="177">
        <f t="shared" si="9"/>
        <v>26279.116066095958</v>
      </c>
      <c r="G80" s="177">
        <v>150000</v>
      </c>
      <c r="H80" s="197">
        <f>G80/'POSEBNI DIO'!$F$4</f>
        <v>19908.421262193908</v>
      </c>
      <c r="I80" s="81">
        <f>+'POSEBNI DIO'!J140</f>
        <v>26503</v>
      </c>
      <c r="J80" s="154">
        <f t="shared" si="7"/>
        <v>199686.8535</v>
      </c>
      <c r="K80" s="81">
        <f t="shared" si="8"/>
        <v>26503</v>
      </c>
      <c r="L80" s="81">
        <f t="shared" si="10"/>
        <v>26503</v>
      </c>
    </row>
    <row r="81" spans="1:12" s="87" customFormat="1" x14ac:dyDescent="0.25">
      <c r="A81" s="146"/>
      <c r="B81" s="146"/>
      <c r="C81" s="148">
        <v>31</v>
      </c>
      <c r="D81" s="148" t="s">
        <v>20</v>
      </c>
      <c r="E81" s="192">
        <f>+E80</f>
        <v>198000</v>
      </c>
      <c r="F81" s="177">
        <f t="shared" si="9"/>
        <v>26279.116066095958</v>
      </c>
      <c r="G81" s="177">
        <f>+G80</f>
        <v>150000</v>
      </c>
      <c r="H81" s="197">
        <f>G81/'POSEBNI DIO'!$F$4</f>
        <v>19908.421262193908</v>
      </c>
      <c r="I81" s="81">
        <f>+I80</f>
        <v>26503</v>
      </c>
      <c r="J81" s="154">
        <f t="shared" si="7"/>
        <v>199686.8535</v>
      </c>
      <c r="K81" s="81">
        <f t="shared" si="8"/>
        <v>26503</v>
      </c>
      <c r="L81" s="81">
        <f t="shared" si="10"/>
        <v>26503</v>
      </c>
    </row>
    <row r="82" spans="1:12" s="87" customFormat="1" ht="25.5" x14ac:dyDescent="0.25">
      <c r="A82" s="146"/>
      <c r="B82" s="146">
        <v>42</v>
      </c>
      <c r="C82" s="148"/>
      <c r="D82" s="149" t="s">
        <v>103</v>
      </c>
      <c r="E82" s="192">
        <v>398662</v>
      </c>
      <c r="F82" s="177">
        <f t="shared" si="9"/>
        <v>52911.540248191646</v>
      </c>
      <c r="G82" s="177">
        <v>302500</v>
      </c>
      <c r="H82" s="197">
        <f>G82/'POSEBNI DIO'!$F$4</f>
        <v>40148.649545424378</v>
      </c>
      <c r="I82" s="81">
        <v>40000</v>
      </c>
      <c r="J82" s="154">
        <f t="shared" si="7"/>
        <v>301380</v>
      </c>
      <c r="K82" s="81">
        <v>40790</v>
      </c>
      <c r="L82" s="81">
        <v>40000</v>
      </c>
    </row>
    <row r="83" spans="1:12" s="87" customFormat="1" x14ac:dyDescent="0.25">
      <c r="A83" s="146"/>
      <c r="B83" s="146"/>
      <c r="C83" s="148">
        <v>55</v>
      </c>
      <c r="D83" s="149" t="s">
        <v>102</v>
      </c>
      <c r="E83" s="192">
        <f>+E82</f>
        <v>398662</v>
      </c>
      <c r="F83" s="177">
        <f t="shared" si="9"/>
        <v>52911.540248191646</v>
      </c>
      <c r="G83" s="177">
        <f>+G82</f>
        <v>302500</v>
      </c>
      <c r="H83" s="197">
        <f>G83/'POSEBNI DIO'!$F$4</f>
        <v>40148.649545424378</v>
      </c>
      <c r="I83" s="81">
        <v>40000</v>
      </c>
      <c r="J83" s="154">
        <f t="shared" si="7"/>
        <v>301380</v>
      </c>
      <c r="K83" s="81">
        <v>40790</v>
      </c>
      <c r="L83" s="81">
        <v>40000</v>
      </c>
    </row>
    <row r="84" spans="1:12" s="199" customFormat="1" ht="25.5" x14ac:dyDescent="0.25">
      <c r="A84" s="218"/>
      <c r="B84" s="218">
        <v>42</v>
      </c>
      <c r="C84" s="194"/>
      <c r="D84" s="13" t="s">
        <v>103</v>
      </c>
      <c r="E84" s="194">
        <v>0</v>
      </c>
      <c r="F84" s="177">
        <f t="shared" si="9"/>
        <v>0</v>
      </c>
      <c r="G84" s="197">
        <v>10000</v>
      </c>
      <c r="H84" s="197">
        <f>G84/'POSEBNI DIO'!$F$4</f>
        <v>1327.2280841462605</v>
      </c>
      <c r="I84" s="81">
        <v>260</v>
      </c>
      <c r="J84" s="154">
        <f t="shared" si="7"/>
        <v>1958.97</v>
      </c>
      <c r="K84" s="81">
        <v>0</v>
      </c>
      <c r="L84" s="81">
        <v>0</v>
      </c>
    </row>
    <row r="85" spans="1:12" s="199" customFormat="1" x14ac:dyDescent="0.25">
      <c r="A85" s="245"/>
      <c r="B85" s="245"/>
      <c r="C85" s="245">
        <v>25</v>
      </c>
      <c r="D85" s="245" t="s">
        <v>108</v>
      </c>
      <c r="E85" s="208">
        <v>0</v>
      </c>
      <c r="F85" s="177">
        <f t="shared" si="9"/>
        <v>0</v>
      </c>
      <c r="G85" s="246">
        <f>+G84</f>
        <v>10000</v>
      </c>
      <c r="H85" s="197">
        <f>G85/'POSEBNI DIO'!$F$4</f>
        <v>1327.2280841462605</v>
      </c>
      <c r="I85" s="257">
        <v>260</v>
      </c>
      <c r="J85" s="154">
        <f t="shared" si="7"/>
        <v>1958.97</v>
      </c>
      <c r="K85" s="81">
        <v>0</v>
      </c>
      <c r="L85" s="81">
        <v>0</v>
      </c>
    </row>
    <row r="86" spans="1:12" s="199" customFormat="1" ht="30" customHeight="1" x14ac:dyDescent="0.25">
      <c r="A86" s="245"/>
      <c r="B86" s="245">
        <v>42</v>
      </c>
      <c r="C86" s="245">
        <v>29</v>
      </c>
      <c r="D86" s="245" t="s">
        <v>103</v>
      </c>
      <c r="E86" s="208">
        <v>0</v>
      </c>
      <c r="F86" s="177">
        <f t="shared" ref="F86" si="12">+E86/$E$6</f>
        <v>0</v>
      </c>
      <c r="G86" s="246">
        <v>45500</v>
      </c>
      <c r="H86" s="197">
        <f>G86/'POSEBNI DIO'!$F$4</f>
        <v>6038.887782865485</v>
      </c>
      <c r="I86" s="257">
        <v>0</v>
      </c>
      <c r="J86" s="154">
        <f t="shared" ref="J86" si="13">+I86*$A$35</f>
        <v>0</v>
      </c>
      <c r="K86" s="81">
        <f t="shared" ref="K86" si="14">+J86/$A$35</f>
        <v>0</v>
      </c>
      <c r="L86" s="81">
        <f t="shared" ref="L86" si="15">+K86</f>
        <v>0</v>
      </c>
    </row>
    <row r="87" spans="1:12" s="54" customFormat="1" x14ac:dyDescent="0.25">
      <c r="E87" s="199"/>
      <c r="F87" s="199"/>
      <c r="I87" s="57"/>
      <c r="J87" s="58"/>
      <c r="K87" s="57"/>
      <c r="L87" s="57"/>
    </row>
    <row r="88" spans="1:12" x14ac:dyDescent="0.25">
      <c r="I88" s="45"/>
    </row>
  </sheetData>
  <sheetProtection algorithmName="SHA-512" hashValue="Pj9uM0p6t95Az5yEp+YEyS9+U8AOyMkt8SaWNSuisMss6Hsu43hkMaiELU9VUiaha+FUdyFGmRewtO7EuTEJ4Q==" saltValue="K1f8QJlB1rNbMcw+PqGfZw==" spinCount="100000" sheet="1" objects="1" scenarios="1"/>
  <mergeCells count="5">
    <mergeCell ref="A7:L7"/>
    <mergeCell ref="A36:L36"/>
    <mergeCell ref="A1:L1"/>
    <mergeCell ref="A3:L3"/>
    <mergeCell ref="A5:L5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47"/>
  <sheetViews>
    <sheetView topLeftCell="B1" zoomScale="110" zoomScaleNormal="110" workbookViewId="0">
      <selection sqref="A1:L1"/>
    </sheetView>
  </sheetViews>
  <sheetFormatPr defaultRowHeight="15" x14ac:dyDescent="0.25"/>
  <cols>
    <col min="1" max="1" width="13.5703125" style="54" customWidth="1"/>
    <col min="2" max="2" width="8.42578125" style="54" customWidth="1"/>
    <col min="3" max="3" width="8.7109375" style="54" customWidth="1"/>
    <col min="4" max="4" width="35.5703125" style="54" customWidth="1"/>
    <col min="5" max="7" width="25.28515625" style="54" customWidth="1"/>
    <col min="8" max="8" width="25.28515625" style="76" customWidth="1"/>
    <col min="9" max="9" width="20.28515625" style="77" customWidth="1"/>
    <col min="10" max="11" width="25.28515625" style="57" customWidth="1"/>
    <col min="12" max="12" width="26.7109375" style="54" customWidth="1"/>
    <col min="13" max="16384" width="9.140625" style="54"/>
  </cols>
  <sheetData>
    <row r="1" spans="1:12" s="87" customFormat="1" ht="42" customHeight="1" x14ac:dyDescent="0.25">
      <c r="A1" s="288" t="s">
        <v>151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s="87" customFormat="1" ht="18" x14ac:dyDescent="0.25">
      <c r="A2" s="97"/>
      <c r="B2" s="97"/>
      <c r="C2" s="97"/>
      <c r="D2" s="97"/>
      <c r="E2" s="164"/>
      <c r="F2" s="164"/>
      <c r="G2" s="164"/>
      <c r="H2" s="165"/>
      <c r="I2" s="98"/>
      <c r="J2" s="97"/>
      <c r="K2" s="141" t="s">
        <v>118</v>
      </c>
      <c r="L2" s="99"/>
    </row>
    <row r="3" spans="1:12" s="87" customFormat="1" ht="18" customHeight="1" x14ac:dyDescent="0.25">
      <c r="A3" s="289" t="s">
        <v>30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s="87" customFormat="1" ht="18" x14ac:dyDescent="0.25">
      <c r="A4" s="97"/>
      <c r="B4" s="97"/>
      <c r="C4" s="97"/>
      <c r="D4" s="97"/>
      <c r="E4" s="164"/>
      <c r="F4" s="183">
        <v>7.5345000000000004</v>
      </c>
      <c r="G4" s="97" t="s">
        <v>51</v>
      </c>
      <c r="H4" s="242" t="s">
        <v>96</v>
      </c>
      <c r="I4" s="247" t="s">
        <v>51</v>
      </c>
      <c r="J4" s="97" t="s">
        <v>96</v>
      </c>
      <c r="K4" s="97" t="s">
        <v>96</v>
      </c>
      <c r="L4" s="97" t="s">
        <v>96</v>
      </c>
    </row>
    <row r="5" spans="1:12" s="87" customFormat="1" x14ac:dyDescent="0.25">
      <c r="A5" s="100" t="s">
        <v>32</v>
      </c>
      <c r="B5" s="313" t="s">
        <v>33</v>
      </c>
      <c r="C5" s="313"/>
      <c r="D5" s="314"/>
      <c r="E5" s="101" t="s">
        <v>126</v>
      </c>
      <c r="F5" s="101" t="s">
        <v>125</v>
      </c>
      <c r="G5" s="102" t="s">
        <v>13</v>
      </c>
      <c r="H5" s="243" t="s">
        <v>13</v>
      </c>
      <c r="I5" s="103" t="s">
        <v>41</v>
      </c>
      <c r="J5" s="104" t="s">
        <v>41</v>
      </c>
      <c r="K5" s="104" t="s">
        <v>104</v>
      </c>
      <c r="L5" s="104" t="s">
        <v>105</v>
      </c>
    </row>
    <row r="6" spans="1:12" s="87" customFormat="1" x14ac:dyDescent="0.25">
      <c r="A6" s="100"/>
      <c r="B6" s="105"/>
      <c r="C6" s="105"/>
      <c r="D6" s="101"/>
      <c r="E6" s="182">
        <f>+E7+E27+E139+E145</f>
        <v>11596987.690000001</v>
      </c>
      <c r="F6" s="182">
        <f>+F7+F27+F139+F145</f>
        <v>1539185.1613245737</v>
      </c>
      <c r="G6" s="240">
        <f>SUM(G7+G27+G138)</f>
        <v>14768700</v>
      </c>
      <c r="H6" s="243">
        <f>+G6/F4</f>
        <v>1960143.3406330878</v>
      </c>
      <c r="I6" s="102">
        <f>SUM(I7+I27+I138)</f>
        <v>12981461.3345</v>
      </c>
      <c r="J6" s="102">
        <f>SUM(J7+J27+J138)</f>
        <v>1722936</v>
      </c>
      <c r="K6" s="102">
        <f>SUM(K7+K27+K138)</f>
        <v>1722936</v>
      </c>
      <c r="L6" s="102">
        <f>SUM(L7+L27+L138)</f>
        <v>1722406</v>
      </c>
    </row>
    <row r="7" spans="1:12" s="87" customFormat="1" ht="14.45" customHeight="1" x14ac:dyDescent="0.25">
      <c r="A7" s="142" t="s">
        <v>76</v>
      </c>
      <c r="B7" s="318" t="s">
        <v>77</v>
      </c>
      <c r="C7" s="318"/>
      <c r="D7" s="318"/>
      <c r="E7" s="181">
        <f>SUM(E8+E22)</f>
        <v>8192646.7800000003</v>
      </c>
      <c r="F7" s="181">
        <f>SUM(F8+F22)</f>
        <v>1087351.0889906432</v>
      </c>
      <c r="G7" s="241">
        <f>SUM(G8+G15+G22)</f>
        <v>10606000</v>
      </c>
      <c r="H7" s="244">
        <f>+G7/$F$4</f>
        <v>1407658.1060455239</v>
      </c>
      <c r="I7" s="143">
        <f>SUM(I8+I22)</f>
        <v>10127535.890000001</v>
      </c>
      <c r="J7" s="143">
        <f>SUM(J8+J22)</f>
        <v>1344155</v>
      </c>
      <c r="K7" s="143">
        <f>SUM(K8+K22)</f>
        <v>1344155</v>
      </c>
      <c r="L7" s="143">
        <f>SUM(L8+L22)</f>
        <v>1344155</v>
      </c>
    </row>
    <row r="8" spans="1:12" s="87" customFormat="1" ht="18" customHeight="1" x14ac:dyDescent="0.25">
      <c r="A8" s="84" t="s">
        <v>70</v>
      </c>
      <c r="B8" s="319" t="s">
        <v>71</v>
      </c>
      <c r="C8" s="319"/>
      <c r="D8" s="319"/>
      <c r="E8" s="78">
        <f>+E9</f>
        <v>715000</v>
      </c>
      <c r="F8" s="78">
        <f>+E8/$F$4</f>
        <v>94896.808016457624</v>
      </c>
      <c r="G8" s="209">
        <f>+G9</f>
        <v>705000</v>
      </c>
      <c r="H8" s="211">
        <f t="shared" ref="H8:H144" si="0">+G8/$F$4</f>
        <v>93569.579932311361</v>
      </c>
      <c r="I8" s="80">
        <f>+I9</f>
        <v>688314.29</v>
      </c>
      <c r="J8" s="81">
        <f>+J9</f>
        <v>91355</v>
      </c>
      <c r="K8" s="81">
        <f>+J8</f>
        <v>91355</v>
      </c>
      <c r="L8" s="81">
        <f>+K8</f>
        <v>91355</v>
      </c>
    </row>
    <row r="9" spans="1:12" s="87" customFormat="1" ht="14.45" customHeight="1" x14ac:dyDescent="0.25">
      <c r="A9" s="88" t="s">
        <v>84</v>
      </c>
      <c r="B9" s="315" t="s">
        <v>78</v>
      </c>
      <c r="C9" s="316"/>
      <c r="D9" s="317"/>
      <c r="E9" s="79">
        <f>+E10</f>
        <v>715000</v>
      </c>
      <c r="F9" s="79">
        <f t="shared" ref="F9:F12" si="1">+E9/$F$4</f>
        <v>94896.808016457624</v>
      </c>
      <c r="G9" s="210">
        <f>+G10</f>
        <v>705000</v>
      </c>
      <c r="H9" s="212">
        <f t="shared" si="0"/>
        <v>93569.579932311361</v>
      </c>
      <c r="I9" s="82">
        <f>+I10</f>
        <v>688314.29</v>
      </c>
      <c r="J9" s="83">
        <f>+J10</f>
        <v>91355</v>
      </c>
      <c r="K9" s="83">
        <f t="shared" ref="K9:L26" si="2">+J9</f>
        <v>91355</v>
      </c>
      <c r="L9" s="83">
        <f t="shared" si="2"/>
        <v>91355</v>
      </c>
    </row>
    <row r="10" spans="1:12" s="87" customFormat="1" ht="14.45" customHeight="1" x14ac:dyDescent="0.25">
      <c r="A10" s="89">
        <v>3</v>
      </c>
      <c r="B10" s="290" t="s">
        <v>22</v>
      </c>
      <c r="C10" s="290"/>
      <c r="D10" s="290"/>
      <c r="E10" s="78">
        <v>715000</v>
      </c>
      <c r="F10" s="78">
        <f>+E10/$F$4</f>
        <v>94896.808016457624</v>
      </c>
      <c r="G10" s="207">
        <v>705000</v>
      </c>
      <c r="H10" s="207">
        <f t="shared" si="0"/>
        <v>93569.579932311361</v>
      </c>
      <c r="I10" s="78">
        <v>688314.29</v>
      </c>
      <c r="J10" s="78">
        <v>91355</v>
      </c>
      <c r="K10" s="81">
        <f t="shared" si="2"/>
        <v>91355</v>
      </c>
      <c r="L10" s="81">
        <f t="shared" si="2"/>
        <v>91355</v>
      </c>
    </row>
    <row r="11" spans="1:12" s="87" customFormat="1" ht="14.45" customHeight="1" x14ac:dyDescent="0.25">
      <c r="A11" s="90">
        <v>32</v>
      </c>
      <c r="B11" s="291" t="s">
        <v>34</v>
      </c>
      <c r="C11" s="291"/>
      <c r="D11" s="291"/>
      <c r="E11" s="78">
        <v>706604.1</v>
      </c>
      <c r="F11" s="78">
        <f t="shared" si="1"/>
        <v>93782.480589289262</v>
      </c>
      <c r="G11" s="207">
        <v>697500</v>
      </c>
      <c r="H11" s="207">
        <f t="shared" si="0"/>
        <v>92574.158869201667</v>
      </c>
      <c r="I11" s="78">
        <v>681307.21</v>
      </c>
      <c r="J11" s="78">
        <v>90425</v>
      </c>
      <c r="K11" s="81">
        <f t="shared" si="2"/>
        <v>90425</v>
      </c>
      <c r="L11" s="81">
        <f t="shared" si="2"/>
        <v>90425</v>
      </c>
    </row>
    <row r="12" spans="1:12" s="87" customFormat="1" ht="15" customHeight="1" x14ac:dyDescent="0.25">
      <c r="A12" s="90">
        <v>34</v>
      </c>
      <c r="B12" s="291" t="s">
        <v>72</v>
      </c>
      <c r="C12" s="291"/>
      <c r="D12" s="291"/>
      <c r="E12" s="78">
        <v>8395.9</v>
      </c>
      <c r="F12" s="78">
        <f t="shared" si="1"/>
        <v>1114.3274271683588</v>
      </c>
      <c r="G12" s="207">
        <v>7500</v>
      </c>
      <c r="H12" s="207">
        <f t="shared" si="0"/>
        <v>995.4210631096953</v>
      </c>
      <c r="I12" s="78">
        <v>7007.08</v>
      </c>
      <c r="J12" s="78">
        <f t="shared" ref="J12" si="3">+I12/$F$4</f>
        <v>929.99933638595792</v>
      </c>
      <c r="K12" s="81">
        <f t="shared" si="2"/>
        <v>929.99933638595792</v>
      </c>
      <c r="L12" s="81">
        <f t="shared" si="2"/>
        <v>929.99933638595792</v>
      </c>
    </row>
    <row r="13" spans="1:12" s="87" customFormat="1" ht="15" customHeight="1" x14ac:dyDescent="0.25">
      <c r="A13" s="231"/>
      <c r="B13" s="304"/>
      <c r="C13" s="305"/>
      <c r="D13" s="306"/>
      <c r="E13" s="78"/>
      <c r="F13" s="78"/>
      <c r="G13" s="207"/>
      <c r="H13" s="207"/>
      <c r="I13" s="78"/>
      <c r="J13" s="78"/>
      <c r="K13" s="81"/>
      <c r="L13" s="81"/>
    </row>
    <row r="14" spans="1:12" s="87" customFormat="1" ht="22.9" customHeight="1" x14ac:dyDescent="0.25">
      <c r="A14" s="232" t="s">
        <v>145</v>
      </c>
      <c r="B14" s="329" t="s">
        <v>143</v>
      </c>
      <c r="C14" s="330"/>
      <c r="D14" s="331"/>
      <c r="E14" s="92">
        <f>+E15</f>
        <v>0</v>
      </c>
      <c r="F14" s="92">
        <f>+F15</f>
        <v>0</v>
      </c>
      <c r="G14" s="213">
        <f>+G15</f>
        <v>6000</v>
      </c>
      <c r="H14" s="211">
        <f t="shared" ref="H14:H15" si="4">+G14/$F$4</f>
        <v>796.33685048775624</v>
      </c>
      <c r="I14" s="80">
        <f>J14*$F$4</f>
        <v>0</v>
      </c>
      <c r="J14" s="81">
        <f>+J15</f>
        <v>0</v>
      </c>
      <c r="K14" s="81">
        <f t="shared" ref="K14:K18" si="5">+J14</f>
        <v>0</v>
      </c>
      <c r="L14" s="81">
        <f t="shared" ref="L14:L18" si="6">+K14</f>
        <v>0</v>
      </c>
    </row>
    <row r="15" spans="1:12" s="87" customFormat="1" ht="14.45" customHeight="1" x14ac:dyDescent="0.25">
      <c r="A15" s="93" t="s">
        <v>84</v>
      </c>
      <c r="B15" s="326" t="s">
        <v>144</v>
      </c>
      <c r="C15" s="327"/>
      <c r="D15" s="328"/>
      <c r="E15" s="94">
        <f>+E17+E18</f>
        <v>0</v>
      </c>
      <c r="F15" s="94">
        <f>E15/$F$4</f>
        <v>0</v>
      </c>
      <c r="G15" s="214">
        <f>+G16</f>
        <v>6000</v>
      </c>
      <c r="H15" s="215">
        <f t="shared" si="4"/>
        <v>796.33685048775624</v>
      </c>
      <c r="I15" s="95">
        <f>+J15*7.5345</f>
        <v>0</v>
      </c>
      <c r="J15" s="96">
        <f>+J16</f>
        <v>0</v>
      </c>
      <c r="K15" s="96">
        <f t="shared" si="5"/>
        <v>0</v>
      </c>
      <c r="L15" s="96">
        <f t="shared" si="6"/>
        <v>0</v>
      </c>
    </row>
    <row r="16" spans="1:12" s="87" customFormat="1" ht="15" customHeight="1" x14ac:dyDescent="0.25">
      <c r="A16" s="89">
        <v>3</v>
      </c>
      <c r="B16" s="290" t="s">
        <v>22</v>
      </c>
      <c r="C16" s="290"/>
      <c r="D16" s="290"/>
      <c r="E16" s="92"/>
      <c r="F16" s="92"/>
      <c r="G16" s="209">
        <f>+G17+G18</f>
        <v>6000</v>
      </c>
      <c r="H16" s="211">
        <f t="shared" si="0"/>
        <v>796.33685048775624</v>
      </c>
      <c r="I16" s="80">
        <f>+J16*$F$4</f>
        <v>0</v>
      </c>
      <c r="J16" s="81">
        <f>+J17+J18</f>
        <v>0</v>
      </c>
      <c r="K16" s="81">
        <f t="shared" si="5"/>
        <v>0</v>
      </c>
      <c r="L16" s="81">
        <f t="shared" si="6"/>
        <v>0</v>
      </c>
    </row>
    <row r="17" spans="1:12" s="87" customFormat="1" ht="22.9" hidden="1" customHeight="1" x14ac:dyDescent="0.25">
      <c r="A17" s="90">
        <v>31</v>
      </c>
      <c r="B17" s="290" t="s">
        <v>54</v>
      </c>
      <c r="C17" s="291"/>
      <c r="D17" s="291"/>
      <c r="E17" s="92"/>
      <c r="F17" s="92">
        <f t="shared" ref="F17" si="7">E17/$F$4</f>
        <v>0</v>
      </c>
      <c r="G17" s="209"/>
      <c r="H17" s="211">
        <f t="shared" si="0"/>
        <v>0</v>
      </c>
      <c r="I17" s="80"/>
      <c r="J17" s="81"/>
      <c r="K17" s="81">
        <f t="shared" si="5"/>
        <v>0</v>
      </c>
      <c r="L17" s="81">
        <f t="shared" si="6"/>
        <v>0</v>
      </c>
    </row>
    <row r="18" spans="1:12" s="87" customFormat="1" x14ac:dyDescent="0.25">
      <c r="A18" s="90">
        <v>32</v>
      </c>
      <c r="B18" s="292" t="s">
        <v>34</v>
      </c>
      <c r="C18" s="293"/>
      <c r="D18" s="294"/>
      <c r="E18" s="92"/>
      <c r="F18" s="92"/>
      <c r="G18" s="209">
        <v>6000</v>
      </c>
      <c r="H18" s="211">
        <f t="shared" si="0"/>
        <v>796.33685048775624</v>
      </c>
      <c r="I18" s="80"/>
      <c r="J18" s="81"/>
      <c r="K18" s="81">
        <f t="shared" si="5"/>
        <v>0</v>
      </c>
      <c r="L18" s="81">
        <f t="shared" si="6"/>
        <v>0</v>
      </c>
    </row>
    <row r="19" spans="1:12" s="87" customFormat="1" ht="15" hidden="1" customHeight="1" x14ac:dyDescent="0.25">
      <c r="A19" s="231"/>
      <c r="B19" s="158"/>
      <c r="C19" s="159"/>
      <c r="D19" s="160"/>
      <c r="E19" s="78"/>
      <c r="F19" s="78"/>
      <c r="G19" s="207"/>
      <c r="H19" s="211">
        <f t="shared" si="0"/>
        <v>0</v>
      </c>
      <c r="I19" s="78"/>
      <c r="J19" s="78"/>
      <c r="K19" s="81"/>
      <c r="L19" s="81"/>
    </row>
    <row r="20" spans="1:12" s="87" customFormat="1" ht="15" hidden="1" customHeight="1" x14ac:dyDescent="0.25">
      <c r="A20" s="231"/>
      <c r="B20" s="158"/>
      <c r="C20" s="159"/>
      <c r="D20" s="160"/>
      <c r="E20" s="78"/>
      <c r="F20" s="78"/>
      <c r="G20" s="207"/>
      <c r="H20" s="211">
        <f t="shared" si="0"/>
        <v>0</v>
      </c>
      <c r="I20" s="78"/>
      <c r="J20" s="78"/>
      <c r="K20" s="81"/>
      <c r="L20" s="81"/>
    </row>
    <row r="21" spans="1:12" s="87" customFormat="1" ht="15" hidden="1" customHeight="1" x14ac:dyDescent="0.25">
      <c r="A21" s="231"/>
      <c r="B21" s="158"/>
      <c r="C21" s="159"/>
      <c r="D21" s="160"/>
      <c r="E21" s="78"/>
      <c r="F21" s="78"/>
      <c r="G21" s="207"/>
      <c r="H21" s="207"/>
      <c r="I21" s="78"/>
      <c r="J21" s="78"/>
      <c r="K21" s="81"/>
      <c r="L21" s="81"/>
    </row>
    <row r="22" spans="1:12" s="87" customFormat="1" ht="22.9" customHeight="1" x14ac:dyDescent="0.25">
      <c r="A22" s="91" t="s">
        <v>52</v>
      </c>
      <c r="B22" s="329" t="s">
        <v>53</v>
      </c>
      <c r="C22" s="330"/>
      <c r="D22" s="331"/>
      <c r="E22" s="92">
        <f>+E23</f>
        <v>7477646.7800000003</v>
      </c>
      <c r="F22" s="92">
        <f>+F23</f>
        <v>992454.28097418544</v>
      </c>
      <c r="G22" s="213">
        <f>+G23</f>
        <v>9895000</v>
      </c>
      <c r="H22" s="211">
        <f t="shared" si="0"/>
        <v>1313292.1892627247</v>
      </c>
      <c r="I22" s="80">
        <f>J22*$F$4</f>
        <v>9439221.5999999996</v>
      </c>
      <c r="J22" s="81">
        <f>+J23</f>
        <v>1252800</v>
      </c>
      <c r="K22" s="81">
        <f t="shared" si="2"/>
        <v>1252800</v>
      </c>
      <c r="L22" s="81">
        <f t="shared" si="2"/>
        <v>1252800</v>
      </c>
    </row>
    <row r="23" spans="1:12" s="87" customFormat="1" ht="14.45" customHeight="1" x14ac:dyDescent="0.25">
      <c r="A23" s="93" t="s">
        <v>85</v>
      </c>
      <c r="B23" s="326" t="s">
        <v>79</v>
      </c>
      <c r="C23" s="327"/>
      <c r="D23" s="328"/>
      <c r="E23" s="94">
        <f>+E25+E26</f>
        <v>7477646.7800000003</v>
      </c>
      <c r="F23" s="94">
        <f>E23/$F$4</f>
        <v>992454.28097418544</v>
      </c>
      <c r="G23" s="214">
        <f>+G24</f>
        <v>9895000</v>
      </c>
      <c r="H23" s="215">
        <f t="shared" si="0"/>
        <v>1313292.1892627247</v>
      </c>
      <c r="I23" s="95">
        <f>+J23*7.5345</f>
        <v>9439221.5999999996</v>
      </c>
      <c r="J23" s="96">
        <f>+J24</f>
        <v>1252800</v>
      </c>
      <c r="K23" s="96">
        <f t="shared" si="2"/>
        <v>1252800</v>
      </c>
      <c r="L23" s="96">
        <f t="shared" si="2"/>
        <v>1252800</v>
      </c>
    </row>
    <row r="24" spans="1:12" s="87" customFormat="1" ht="15" customHeight="1" x14ac:dyDescent="0.25">
      <c r="A24" s="89">
        <v>3</v>
      </c>
      <c r="B24" s="290" t="s">
        <v>22</v>
      </c>
      <c r="C24" s="290"/>
      <c r="D24" s="290"/>
      <c r="E24" s="92">
        <v>7477647</v>
      </c>
      <c r="F24" s="92">
        <f t="shared" ref="F24:F28" si="8">E24/$F$4</f>
        <v>992454.31017320324</v>
      </c>
      <c r="G24" s="209">
        <f>+G25+G26</f>
        <v>9895000</v>
      </c>
      <c r="H24" s="211">
        <f t="shared" si="0"/>
        <v>1313292.1892627247</v>
      </c>
      <c r="I24" s="80">
        <f>+J24*$F$4</f>
        <v>9439221.5999999996</v>
      </c>
      <c r="J24" s="81">
        <f>+J25+J26</f>
        <v>1252800</v>
      </c>
      <c r="K24" s="81">
        <f t="shared" si="2"/>
        <v>1252800</v>
      </c>
      <c r="L24" s="81">
        <f t="shared" si="2"/>
        <v>1252800</v>
      </c>
    </row>
    <row r="25" spans="1:12" s="87" customFormat="1" ht="22.9" customHeight="1" x14ac:dyDescent="0.25">
      <c r="A25" s="90">
        <v>31</v>
      </c>
      <c r="B25" s="290" t="s">
        <v>54</v>
      </c>
      <c r="C25" s="291"/>
      <c r="D25" s="291"/>
      <c r="E25" s="92">
        <v>7355485.9400000004</v>
      </c>
      <c r="F25" s="92">
        <f t="shared" si="8"/>
        <v>976240.7512110956</v>
      </c>
      <c r="G25" s="209">
        <v>9710000</v>
      </c>
      <c r="H25" s="211">
        <f t="shared" si="0"/>
        <v>1288738.4697060189</v>
      </c>
      <c r="I25" s="80">
        <v>9250859.0999999996</v>
      </c>
      <c r="J25" s="81">
        <v>1227800</v>
      </c>
      <c r="K25" s="81">
        <f t="shared" si="2"/>
        <v>1227800</v>
      </c>
      <c r="L25" s="81">
        <f t="shared" si="2"/>
        <v>1227800</v>
      </c>
    </row>
    <row r="26" spans="1:12" s="87" customFormat="1" x14ac:dyDescent="0.25">
      <c r="A26" s="90">
        <v>32</v>
      </c>
      <c r="B26" s="292" t="s">
        <v>34</v>
      </c>
      <c r="C26" s="293"/>
      <c r="D26" s="294"/>
      <c r="E26" s="92">
        <v>122160.84</v>
      </c>
      <c r="F26" s="92">
        <f t="shared" si="8"/>
        <v>16213.529763089786</v>
      </c>
      <c r="G26" s="209">
        <v>185000</v>
      </c>
      <c r="H26" s="211">
        <f t="shared" si="0"/>
        <v>24553.719556705819</v>
      </c>
      <c r="I26" s="80">
        <v>188362.5</v>
      </c>
      <c r="J26" s="81">
        <v>25000</v>
      </c>
      <c r="K26" s="81">
        <f t="shared" si="2"/>
        <v>25000</v>
      </c>
      <c r="L26" s="81">
        <f t="shared" si="2"/>
        <v>25000</v>
      </c>
    </row>
    <row r="27" spans="1:12" s="87" customFormat="1" ht="33" customHeight="1" x14ac:dyDescent="0.25">
      <c r="A27" s="144">
        <v>8055</v>
      </c>
      <c r="B27" s="320" t="s">
        <v>55</v>
      </c>
      <c r="C27" s="321"/>
      <c r="D27" s="322"/>
      <c r="E27" s="178">
        <f>SUM(E28+E62+E80+E87+E93+E103+E128+E132+E118)</f>
        <v>3201340.91</v>
      </c>
      <c r="F27" s="92">
        <f t="shared" si="8"/>
        <v>424890.95626783464</v>
      </c>
      <c r="G27" s="228">
        <f>SUM(G28+G62+G80+G93+G87+G103+G117+G128+G132)</f>
        <v>4010700</v>
      </c>
      <c r="H27" s="86">
        <f t="shared" si="0"/>
        <v>532311.36770854064</v>
      </c>
      <c r="I27" s="80">
        <f>+J27*$F$4</f>
        <v>2654238.591</v>
      </c>
      <c r="J27" s="81">
        <f>SUM(J28+J62+J80+J87+J93+J103+J129+J133)</f>
        <v>352278</v>
      </c>
      <c r="K27" s="81">
        <f>SUM(K28+K62+K80+K87+K93+K103+K129+K133)</f>
        <v>352278</v>
      </c>
      <c r="L27" s="81">
        <f>SUM(L28+L62+L80+L87+L93+L103+L129+L133)</f>
        <v>351748</v>
      </c>
    </row>
    <row r="28" spans="1:12" s="87" customFormat="1" ht="27" customHeight="1" x14ac:dyDescent="0.25">
      <c r="A28" s="84" t="s">
        <v>56</v>
      </c>
      <c r="B28" s="323" t="s">
        <v>57</v>
      </c>
      <c r="C28" s="324"/>
      <c r="D28" s="325"/>
      <c r="E28" s="178">
        <f>SUM(E34+E45+E50)</f>
        <v>1136723.97</v>
      </c>
      <c r="F28" s="92">
        <f t="shared" si="8"/>
        <v>150869.19769062311</v>
      </c>
      <c r="G28" s="228">
        <f>G29+G34+G45+G50</f>
        <v>1077500</v>
      </c>
      <c r="H28" s="86">
        <f t="shared" si="0"/>
        <v>143008.82606675956</v>
      </c>
      <c r="I28" s="80">
        <f>+J28*$F$4</f>
        <v>6328.9800000000005</v>
      </c>
      <c r="J28" s="81">
        <f>SUM(J29+J34)</f>
        <v>840</v>
      </c>
      <c r="K28" s="81">
        <f>SUM(K29+K34)</f>
        <v>50</v>
      </c>
      <c r="L28" s="81">
        <f>SUM(L29+L34)</f>
        <v>310</v>
      </c>
    </row>
    <row r="29" spans="1:12" s="87" customFormat="1" x14ac:dyDescent="0.25">
      <c r="A29" s="109" t="s">
        <v>86</v>
      </c>
      <c r="B29" s="301" t="s">
        <v>80</v>
      </c>
      <c r="C29" s="302"/>
      <c r="D29" s="303"/>
      <c r="E29" s="166"/>
      <c r="F29" s="166"/>
      <c r="G29" s="229">
        <f>SUM(G31:G32)</f>
        <v>10100</v>
      </c>
      <c r="H29" s="230">
        <f t="shared" si="0"/>
        <v>1340.5003649877231</v>
      </c>
      <c r="I29" s="111">
        <f>+J29*F4</f>
        <v>376.72500000000002</v>
      </c>
      <c r="J29" s="112">
        <f>SUM(J31+J32)</f>
        <v>50</v>
      </c>
      <c r="K29" s="112">
        <v>50</v>
      </c>
      <c r="L29" s="112">
        <v>50</v>
      </c>
    </row>
    <row r="30" spans="1:12" s="87" customFormat="1" x14ac:dyDescent="0.25">
      <c r="A30" s="90">
        <v>3</v>
      </c>
      <c r="B30" s="292" t="s">
        <v>22</v>
      </c>
      <c r="C30" s="293"/>
      <c r="D30" s="294"/>
      <c r="E30" s="51"/>
      <c r="F30" s="51"/>
      <c r="G30" s="85"/>
      <c r="H30" s="86">
        <f t="shared" si="0"/>
        <v>0</v>
      </c>
      <c r="I30" s="80"/>
      <c r="J30" s="81"/>
      <c r="K30" s="81"/>
      <c r="L30" s="113"/>
    </row>
    <row r="31" spans="1:12" s="87" customFormat="1" x14ac:dyDescent="0.25">
      <c r="A31" s="90">
        <v>32</v>
      </c>
      <c r="B31" s="292" t="s">
        <v>34</v>
      </c>
      <c r="C31" s="293"/>
      <c r="D31" s="294"/>
      <c r="E31" s="51"/>
      <c r="F31" s="51"/>
      <c r="G31" s="85">
        <v>100</v>
      </c>
      <c r="H31" s="86">
        <f t="shared" si="0"/>
        <v>13.272280841462605</v>
      </c>
      <c r="I31" s="80">
        <v>376.72</v>
      </c>
      <c r="J31" s="81">
        <v>50</v>
      </c>
      <c r="K31" s="81">
        <v>50</v>
      </c>
      <c r="L31" s="113">
        <v>50</v>
      </c>
    </row>
    <row r="32" spans="1:12" s="87" customFormat="1" x14ac:dyDescent="0.25">
      <c r="A32" s="90">
        <v>42</v>
      </c>
      <c r="B32" s="292" t="s">
        <v>67</v>
      </c>
      <c r="C32" s="293"/>
      <c r="D32" s="294"/>
      <c r="E32" s="51"/>
      <c r="F32" s="51"/>
      <c r="G32" s="85">
        <v>10000</v>
      </c>
      <c r="H32" s="86">
        <f t="shared" si="0"/>
        <v>1327.2280841462605</v>
      </c>
      <c r="I32" s="80"/>
      <c r="J32" s="81"/>
      <c r="K32" s="81"/>
      <c r="L32" s="113"/>
    </row>
    <row r="33" spans="1:12" s="87" customFormat="1" x14ac:dyDescent="0.25">
      <c r="A33" s="90"/>
      <c r="B33" s="304"/>
      <c r="C33" s="305"/>
      <c r="D33" s="306"/>
      <c r="E33" s="51"/>
      <c r="F33" s="51"/>
      <c r="G33" s="85"/>
      <c r="H33" s="86"/>
      <c r="I33" s="80"/>
      <c r="J33" s="81"/>
      <c r="K33" s="81"/>
      <c r="L33" s="113"/>
    </row>
    <row r="34" spans="1:12" s="87" customFormat="1" x14ac:dyDescent="0.25">
      <c r="A34" s="109" t="s">
        <v>88</v>
      </c>
      <c r="B34" s="301" t="s">
        <v>82</v>
      </c>
      <c r="C34" s="302"/>
      <c r="D34" s="303"/>
      <c r="E34" s="110">
        <f>SUM(E36:E40)</f>
        <v>795956.28</v>
      </c>
      <c r="F34" s="110">
        <f t="shared" ref="F34:F40" si="9">E34/$F$4</f>
        <v>105641.55285685846</v>
      </c>
      <c r="G34" s="229">
        <f>SUM(G36:G39)</f>
        <v>391500</v>
      </c>
      <c r="H34" s="230">
        <f>+G34/$F$4</f>
        <v>51960.9794943261</v>
      </c>
      <c r="I34" s="111">
        <f>SUM(I37:I41)</f>
        <v>5952.26</v>
      </c>
      <c r="J34" s="111">
        <f t="shared" ref="J34:K34" si="10">SUM(J37:J41)</f>
        <v>790</v>
      </c>
      <c r="K34" s="111">
        <f t="shared" si="10"/>
        <v>0</v>
      </c>
      <c r="L34" s="111">
        <v>260</v>
      </c>
    </row>
    <row r="35" spans="1:12" s="87" customFormat="1" x14ac:dyDescent="0.25">
      <c r="A35" s="90">
        <v>3</v>
      </c>
      <c r="B35" s="292" t="s">
        <v>22</v>
      </c>
      <c r="C35" s="293"/>
      <c r="D35" s="294"/>
      <c r="E35" s="51"/>
      <c r="F35" s="92"/>
      <c r="G35" s="85"/>
      <c r="H35" s="86">
        <f t="shared" ref="H35:H40" si="11">+G35/$F$4</f>
        <v>0</v>
      </c>
      <c r="I35" s="80"/>
      <c r="J35" s="81"/>
      <c r="K35" s="81"/>
      <c r="L35" s="113"/>
    </row>
    <row r="36" spans="1:12" s="87" customFormat="1" ht="14.25" customHeight="1" x14ac:dyDescent="0.25">
      <c r="A36" s="90">
        <v>31</v>
      </c>
      <c r="B36" s="304" t="s">
        <v>25</v>
      </c>
      <c r="C36" s="305"/>
      <c r="D36" s="306"/>
      <c r="E36" s="92">
        <v>335453.18</v>
      </c>
      <c r="F36" s="92">
        <f t="shared" si="9"/>
        <v>44522.288141217068</v>
      </c>
      <c r="G36" s="85">
        <v>133500</v>
      </c>
      <c r="H36" s="86">
        <f t="shared" si="11"/>
        <v>17718.494923352577</v>
      </c>
      <c r="I36" s="80"/>
      <c r="J36" s="81"/>
      <c r="K36" s="81"/>
      <c r="L36" s="113"/>
    </row>
    <row r="37" spans="1:12" s="87" customFormat="1" x14ac:dyDescent="0.25">
      <c r="A37" s="90">
        <v>32</v>
      </c>
      <c r="B37" s="292" t="s">
        <v>34</v>
      </c>
      <c r="C37" s="293"/>
      <c r="D37" s="294"/>
      <c r="E37" s="92">
        <v>181837.59</v>
      </c>
      <c r="F37" s="92">
        <f t="shared" si="9"/>
        <v>24133.995620147321</v>
      </c>
      <c r="G37" s="85">
        <v>100500</v>
      </c>
      <c r="H37" s="86">
        <f t="shared" si="11"/>
        <v>13338.642245669918</v>
      </c>
      <c r="I37" s="80">
        <v>3993.29</v>
      </c>
      <c r="J37" s="81">
        <v>530</v>
      </c>
      <c r="K37" s="81">
        <v>0</v>
      </c>
      <c r="L37" s="113"/>
    </row>
    <row r="38" spans="1:12" s="87" customFormat="1" x14ac:dyDescent="0.25">
      <c r="A38" s="90">
        <v>34</v>
      </c>
      <c r="B38" s="292" t="s">
        <v>49</v>
      </c>
      <c r="C38" s="293"/>
      <c r="D38" s="294"/>
      <c r="E38" s="92">
        <v>94061.15</v>
      </c>
      <c r="F38" s="92">
        <f t="shared" si="9"/>
        <v>12484.059990709402</v>
      </c>
      <c r="G38" s="85">
        <v>37500</v>
      </c>
      <c r="H38" s="86">
        <f t="shared" si="11"/>
        <v>4977.1053155484769</v>
      </c>
      <c r="I38" s="80"/>
      <c r="J38" s="81"/>
      <c r="K38" s="81"/>
      <c r="L38" s="113">
        <v>260</v>
      </c>
    </row>
    <row r="39" spans="1:12" s="87" customFormat="1" x14ac:dyDescent="0.25">
      <c r="A39" s="90">
        <v>37</v>
      </c>
      <c r="B39" s="304" t="s">
        <v>122</v>
      </c>
      <c r="C39" s="305"/>
      <c r="D39" s="306"/>
      <c r="E39" s="92">
        <v>40310.800000000003</v>
      </c>
      <c r="F39" s="92">
        <f t="shared" si="9"/>
        <v>5350.1625854403082</v>
      </c>
      <c r="G39" s="85">
        <v>120000</v>
      </c>
      <c r="H39" s="86">
        <f t="shared" si="11"/>
        <v>15926.737009755125</v>
      </c>
      <c r="I39" s="80"/>
      <c r="J39" s="81"/>
      <c r="K39" s="81"/>
      <c r="L39" s="113"/>
    </row>
    <row r="40" spans="1:12" s="87" customFormat="1" x14ac:dyDescent="0.25">
      <c r="A40" s="90">
        <v>42</v>
      </c>
      <c r="B40" s="304" t="s">
        <v>67</v>
      </c>
      <c r="C40" s="305"/>
      <c r="D40" s="306"/>
      <c r="E40" s="92">
        <v>144293.56</v>
      </c>
      <c r="F40" s="92">
        <f t="shared" si="9"/>
        <v>19151.046519344349</v>
      </c>
      <c r="G40" s="52"/>
      <c r="H40" s="86">
        <f t="shared" si="11"/>
        <v>0</v>
      </c>
      <c r="I40" s="80">
        <v>1958.97</v>
      </c>
      <c r="J40" s="81">
        <v>260</v>
      </c>
      <c r="K40" s="81">
        <v>0</v>
      </c>
      <c r="L40" s="113"/>
    </row>
    <row r="41" spans="1:12" hidden="1" x14ac:dyDescent="0.25">
      <c r="A41" s="37"/>
      <c r="B41" s="106"/>
      <c r="C41" s="107"/>
      <c r="D41" s="108"/>
      <c r="E41" s="51"/>
      <c r="F41" s="51"/>
      <c r="G41" s="52"/>
      <c r="H41" s="60"/>
      <c r="I41" s="61"/>
      <c r="J41" s="53"/>
      <c r="K41" s="53"/>
      <c r="L41" s="59"/>
    </row>
    <row r="42" spans="1:12" hidden="1" x14ac:dyDescent="0.25">
      <c r="A42" s="37"/>
      <c r="B42" s="106"/>
      <c r="C42" s="107"/>
      <c r="D42" s="108"/>
      <c r="E42" s="51"/>
      <c r="F42" s="51"/>
      <c r="G42" s="52"/>
      <c r="H42" s="60"/>
      <c r="I42" s="61"/>
      <c r="J42" s="53"/>
      <c r="K42" s="53"/>
      <c r="L42" s="59"/>
    </row>
    <row r="43" spans="1:12" hidden="1" x14ac:dyDescent="0.25">
      <c r="A43" s="37"/>
      <c r="B43" s="106"/>
      <c r="C43" s="107"/>
      <c r="D43" s="108"/>
      <c r="E43" s="51"/>
      <c r="F43" s="51"/>
      <c r="G43" s="52"/>
      <c r="H43" s="60"/>
      <c r="I43" s="61"/>
      <c r="J43" s="53"/>
      <c r="K43" s="53"/>
      <c r="L43" s="59"/>
    </row>
    <row r="44" spans="1:12" hidden="1" x14ac:dyDescent="0.25">
      <c r="A44" s="37"/>
      <c r="B44" s="106"/>
      <c r="C44" s="107"/>
      <c r="D44" s="108"/>
      <c r="E44" s="51"/>
      <c r="F44" s="51"/>
      <c r="G44" s="52"/>
      <c r="H44" s="60"/>
      <c r="I44" s="61"/>
      <c r="J44" s="53"/>
      <c r="K44" s="53"/>
      <c r="L44" s="59"/>
    </row>
    <row r="45" spans="1:12" x14ac:dyDescent="0.25">
      <c r="A45" s="168" t="s">
        <v>87</v>
      </c>
      <c r="B45" s="307" t="s">
        <v>81</v>
      </c>
      <c r="C45" s="308"/>
      <c r="D45" s="309"/>
      <c r="E45" s="117">
        <f>SUM(E47:E48)</f>
        <v>198555.19</v>
      </c>
      <c r="F45" s="117"/>
      <c r="G45" s="226">
        <f>+G47+G48</f>
        <v>411000</v>
      </c>
      <c r="H45" s="227">
        <f t="shared" si="0"/>
        <v>54549.074258411303</v>
      </c>
      <c r="I45" s="62"/>
      <c r="J45" s="63"/>
      <c r="K45" s="63"/>
      <c r="L45" s="63"/>
    </row>
    <row r="46" spans="1:12" x14ac:dyDescent="0.25">
      <c r="A46" s="90">
        <v>3</v>
      </c>
      <c r="B46" s="292" t="s">
        <v>22</v>
      </c>
      <c r="C46" s="293"/>
      <c r="D46" s="294"/>
      <c r="E46" s="92"/>
      <c r="F46" s="92"/>
      <c r="G46" s="85"/>
      <c r="H46" s="86">
        <f t="shared" si="0"/>
        <v>0</v>
      </c>
      <c r="I46" s="61"/>
      <c r="J46" s="53"/>
      <c r="K46" s="53"/>
      <c r="L46" s="59"/>
    </row>
    <row r="47" spans="1:12" x14ac:dyDescent="0.25">
      <c r="A47" s="90">
        <v>32</v>
      </c>
      <c r="B47" s="292" t="s">
        <v>34</v>
      </c>
      <c r="C47" s="293"/>
      <c r="D47" s="294"/>
      <c r="E47" s="92"/>
      <c r="F47" s="92"/>
      <c r="G47" s="85">
        <v>288000</v>
      </c>
      <c r="H47" s="86">
        <f t="shared" si="0"/>
        <v>38224.168823412299</v>
      </c>
      <c r="I47" s="61"/>
      <c r="J47" s="53"/>
      <c r="K47" s="53"/>
      <c r="L47" s="59"/>
    </row>
    <row r="48" spans="1:12" x14ac:dyDescent="0.25">
      <c r="A48" s="90">
        <v>37</v>
      </c>
      <c r="B48" s="359" t="s">
        <v>58</v>
      </c>
      <c r="C48" s="360"/>
      <c r="D48" s="361"/>
      <c r="E48" s="92">
        <v>198555.19</v>
      </c>
      <c r="F48" s="92">
        <v>18979</v>
      </c>
      <c r="G48" s="85">
        <v>123000</v>
      </c>
      <c r="H48" s="86">
        <f t="shared" si="0"/>
        <v>16324.905434999004</v>
      </c>
      <c r="I48" s="61"/>
      <c r="J48" s="53"/>
      <c r="K48" s="53"/>
      <c r="L48" s="59"/>
    </row>
    <row r="49" spans="1:12" x14ac:dyDescent="0.25">
      <c r="A49" s="90"/>
      <c r="B49" s="173"/>
      <c r="C49" s="174"/>
      <c r="D49" s="175"/>
      <c r="E49" s="92"/>
      <c r="F49" s="92"/>
      <c r="G49" s="52"/>
      <c r="H49" s="60"/>
      <c r="I49" s="61"/>
      <c r="J49" s="53"/>
      <c r="K49" s="53"/>
      <c r="L49" s="59"/>
    </row>
    <row r="50" spans="1:12" x14ac:dyDescent="0.25">
      <c r="A50" s="176" t="s">
        <v>123</v>
      </c>
      <c r="B50" s="362" t="s">
        <v>124</v>
      </c>
      <c r="C50" s="363"/>
      <c r="D50" s="364"/>
      <c r="E50" s="121">
        <f>SUM(E51:E53)</f>
        <v>142212.5</v>
      </c>
      <c r="F50" s="169">
        <f t="shared" ref="F50:F52" si="12">E50/$F$4</f>
        <v>18874.842391665006</v>
      </c>
      <c r="G50" s="233">
        <f>+G51+G52+G53</f>
        <v>264900</v>
      </c>
      <c r="H50" s="234">
        <f t="shared" ref="H50:H53" si="13">+G50/$F$4</f>
        <v>35158.271949034439</v>
      </c>
      <c r="I50" s="68"/>
      <c r="J50" s="69"/>
      <c r="K50" s="69"/>
      <c r="L50" s="69"/>
    </row>
    <row r="51" spans="1:12" x14ac:dyDescent="0.25">
      <c r="A51" s="90">
        <v>31</v>
      </c>
      <c r="B51" s="359" t="s">
        <v>25</v>
      </c>
      <c r="C51" s="360"/>
      <c r="D51" s="361"/>
      <c r="E51" s="92"/>
      <c r="F51" s="92">
        <f t="shared" si="12"/>
        <v>0</v>
      </c>
      <c r="G51" s="85">
        <v>68000</v>
      </c>
      <c r="H51" s="86">
        <f t="shared" si="13"/>
        <v>9025.1509721945713</v>
      </c>
      <c r="I51" s="61"/>
      <c r="J51" s="53"/>
      <c r="K51" s="53"/>
      <c r="L51" s="59"/>
    </row>
    <row r="52" spans="1:12" x14ac:dyDescent="0.25">
      <c r="A52" s="179">
        <v>32</v>
      </c>
      <c r="B52" s="365" t="s">
        <v>34</v>
      </c>
      <c r="C52" s="366"/>
      <c r="D52" s="367"/>
      <c r="E52" s="92">
        <v>142212.5</v>
      </c>
      <c r="F52" s="92">
        <f t="shared" si="12"/>
        <v>18874.842391665006</v>
      </c>
      <c r="G52" s="85">
        <v>151400</v>
      </c>
      <c r="H52" s="86">
        <f t="shared" si="13"/>
        <v>20094.233193974382</v>
      </c>
      <c r="I52" s="61"/>
      <c r="J52" s="53"/>
      <c r="K52" s="53"/>
      <c r="L52" s="59"/>
    </row>
    <row r="53" spans="1:12" x14ac:dyDescent="0.25">
      <c r="A53" s="179">
        <v>42</v>
      </c>
      <c r="B53" s="365" t="s">
        <v>67</v>
      </c>
      <c r="C53" s="366"/>
      <c r="D53" s="367"/>
      <c r="E53" s="51"/>
      <c r="F53" s="51"/>
      <c r="G53" s="85">
        <v>45500</v>
      </c>
      <c r="H53" s="86">
        <f t="shared" si="13"/>
        <v>6038.887782865485</v>
      </c>
      <c r="I53" s="61"/>
      <c r="J53" s="53"/>
      <c r="K53" s="53"/>
      <c r="L53" s="59"/>
    </row>
    <row r="54" spans="1:12" hidden="1" x14ac:dyDescent="0.25">
      <c r="A54" s="90"/>
      <c r="B54" s="173"/>
      <c r="C54" s="174"/>
      <c r="D54" s="175"/>
      <c r="E54" s="92"/>
      <c r="F54" s="92"/>
      <c r="G54" s="52"/>
      <c r="H54" s="60"/>
      <c r="I54" s="61"/>
      <c r="J54" s="53"/>
      <c r="K54" s="53"/>
      <c r="L54" s="59"/>
    </row>
    <row r="55" spans="1:12" hidden="1" x14ac:dyDescent="0.25">
      <c r="A55" s="90"/>
      <c r="B55" s="173"/>
      <c r="C55" s="174"/>
      <c r="D55" s="175"/>
      <c r="E55" s="92"/>
      <c r="F55" s="92"/>
      <c r="G55" s="52"/>
      <c r="H55" s="60"/>
      <c r="I55" s="61"/>
      <c r="J55" s="53"/>
      <c r="K55" s="53"/>
      <c r="L55" s="59"/>
    </row>
    <row r="56" spans="1:12" hidden="1" x14ac:dyDescent="0.25">
      <c r="A56" s="90"/>
      <c r="B56" s="173"/>
      <c r="C56" s="174"/>
      <c r="D56" s="175"/>
      <c r="E56" s="92"/>
      <c r="F56" s="92"/>
      <c r="G56" s="52"/>
      <c r="H56" s="60"/>
      <c r="I56" s="61"/>
      <c r="J56" s="53"/>
      <c r="K56" s="53"/>
      <c r="L56" s="59"/>
    </row>
    <row r="57" spans="1:12" hidden="1" x14ac:dyDescent="0.25">
      <c r="A57" s="90"/>
      <c r="B57" s="173"/>
      <c r="C57" s="174"/>
      <c r="D57" s="175"/>
      <c r="E57" s="92"/>
      <c r="F57" s="92"/>
      <c r="G57" s="52"/>
      <c r="H57" s="60"/>
      <c r="I57" s="61"/>
      <c r="J57" s="53"/>
      <c r="K57" s="53"/>
      <c r="L57" s="59"/>
    </row>
    <row r="58" spans="1:12" hidden="1" x14ac:dyDescent="0.25">
      <c r="A58" s="64" t="s">
        <v>88</v>
      </c>
      <c r="B58" s="347" t="s">
        <v>92</v>
      </c>
      <c r="C58" s="348"/>
      <c r="D58" s="349"/>
      <c r="E58" s="65"/>
      <c r="F58" s="65"/>
      <c r="G58" s="66">
        <f>+G59+G60+G61</f>
        <v>0</v>
      </c>
      <c r="H58" s="67">
        <f t="shared" si="0"/>
        <v>0</v>
      </c>
      <c r="I58" s="68"/>
      <c r="J58" s="69"/>
      <c r="K58" s="69"/>
      <c r="L58" s="69"/>
    </row>
    <row r="59" spans="1:12" hidden="1" x14ac:dyDescent="0.25">
      <c r="A59" s="37">
        <v>31</v>
      </c>
      <c r="B59" s="350" t="s">
        <v>25</v>
      </c>
      <c r="C59" s="351"/>
      <c r="D59" s="352"/>
      <c r="E59" s="51"/>
      <c r="F59" s="51"/>
      <c r="G59" s="52"/>
      <c r="H59" s="60">
        <f t="shared" si="0"/>
        <v>0</v>
      </c>
      <c r="I59" s="61"/>
      <c r="J59" s="53"/>
      <c r="K59" s="53"/>
      <c r="L59" s="59"/>
    </row>
    <row r="60" spans="1:12" hidden="1" x14ac:dyDescent="0.25">
      <c r="A60" s="37">
        <v>32</v>
      </c>
      <c r="B60" s="350" t="s">
        <v>34</v>
      </c>
      <c r="C60" s="351"/>
      <c r="D60" s="352"/>
      <c r="E60" s="51"/>
      <c r="F60" s="51"/>
      <c r="G60" s="52"/>
      <c r="H60" s="60">
        <f t="shared" si="0"/>
        <v>0</v>
      </c>
      <c r="I60" s="61"/>
      <c r="J60" s="53"/>
      <c r="K60" s="53"/>
      <c r="L60" s="59"/>
    </row>
    <row r="61" spans="1:12" hidden="1" x14ac:dyDescent="0.25">
      <c r="A61" s="37">
        <v>34</v>
      </c>
      <c r="B61" s="350" t="s">
        <v>72</v>
      </c>
      <c r="C61" s="351"/>
      <c r="D61" s="352"/>
      <c r="E61" s="51"/>
      <c r="F61" s="51"/>
      <c r="G61" s="52"/>
      <c r="H61" s="60">
        <f t="shared" si="0"/>
        <v>0</v>
      </c>
      <c r="I61" s="61"/>
      <c r="J61" s="53"/>
      <c r="K61" s="53"/>
      <c r="L61" s="59"/>
    </row>
    <row r="62" spans="1:12" s="87" customFormat="1" ht="20.45" customHeight="1" x14ac:dyDescent="0.25">
      <c r="A62" s="114" t="s">
        <v>59</v>
      </c>
      <c r="B62" s="310" t="s">
        <v>60</v>
      </c>
      <c r="C62" s="311"/>
      <c r="D62" s="312"/>
      <c r="E62" s="115">
        <f>SUM(E63+E77)</f>
        <v>1332436.23</v>
      </c>
      <c r="F62" s="115">
        <f>+E62/$F$4</f>
        <v>176844.67847899659</v>
      </c>
      <c r="G62" s="228">
        <f>+G63+G77+G69</f>
        <v>1666700</v>
      </c>
      <c r="H62" s="86">
        <f t="shared" si="0"/>
        <v>221209.10478465722</v>
      </c>
      <c r="I62" s="80">
        <f>+J62*F4</f>
        <v>1419462.1275000002</v>
      </c>
      <c r="J62" s="81">
        <f>+J63+J77</f>
        <v>188395</v>
      </c>
      <c r="K62" s="81">
        <f>+J62</f>
        <v>188395</v>
      </c>
      <c r="L62" s="81">
        <f>+K62</f>
        <v>188395</v>
      </c>
    </row>
    <row r="63" spans="1:12" s="87" customFormat="1" x14ac:dyDescent="0.25">
      <c r="A63" s="116" t="s">
        <v>87</v>
      </c>
      <c r="B63" s="307" t="s">
        <v>81</v>
      </c>
      <c r="C63" s="308"/>
      <c r="D63" s="309"/>
      <c r="E63" s="117">
        <f>+E64</f>
        <v>1001899.1900000001</v>
      </c>
      <c r="F63" s="117">
        <f>+F64</f>
        <v>132974.87424513901</v>
      </c>
      <c r="G63" s="226">
        <f>+G64</f>
        <v>1221000</v>
      </c>
      <c r="H63" s="227">
        <f t="shared" si="0"/>
        <v>162054.54907425839</v>
      </c>
      <c r="I63" s="118">
        <f>+J63*$F$4</f>
        <v>1099999.3275000001</v>
      </c>
      <c r="J63" s="119">
        <f>+J64</f>
        <v>145995</v>
      </c>
      <c r="K63" s="119">
        <f t="shared" ref="K63:L87" si="14">+J63</f>
        <v>145995</v>
      </c>
      <c r="L63" s="119">
        <f>+K63</f>
        <v>145995</v>
      </c>
    </row>
    <row r="64" spans="1:12" s="87" customFormat="1" x14ac:dyDescent="0.25">
      <c r="A64" s="90">
        <v>3</v>
      </c>
      <c r="B64" s="292" t="s">
        <v>22</v>
      </c>
      <c r="C64" s="293"/>
      <c r="D64" s="294"/>
      <c r="E64" s="92">
        <f>+E65+E66+E67+E68</f>
        <v>1001899.1900000001</v>
      </c>
      <c r="F64" s="92">
        <f>+E64/$F$4</f>
        <v>132974.87424513901</v>
      </c>
      <c r="G64" s="85">
        <f>SUM(G65:G68)</f>
        <v>1221000</v>
      </c>
      <c r="H64" s="228">
        <f>SUM(H65:H68)</f>
        <v>162054.54907425839</v>
      </c>
      <c r="I64" s="80">
        <f t="shared" ref="I64:I67" si="15">+J64*$F$4</f>
        <v>1099999.3275000001</v>
      </c>
      <c r="J64" s="81">
        <f>+J65+J66+J67</f>
        <v>145995</v>
      </c>
      <c r="K64" s="81">
        <f t="shared" si="14"/>
        <v>145995</v>
      </c>
      <c r="L64" s="81">
        <f>+K64</f>
        <v>145995</v>
      </c>
    </row>
    <row r="65" spans="1:12" s="87" customFormat="1" x14ac:dyDescent="0.25">
      <c r="A65" s="90">
        <v>31</v>
      </c>
      <c r="B65" s="292" t="s">
        <v>25</v>
      </c>
      <c r="C65" s="293"/>
      <c r="D65" s="294"/>
      <c r="E65" s="92">
        <v>958486.14</v>
      </c>
      <c r="F65" s="92">
        <f>+E65/$F$4</f>
        <v>127212.97232729444</v>
      </c>
      <c r="G65" s="85">
        <v>1156000</v>
      </c>
      <c r="H65" s="86">
        <f t="shared" si="0"/>
        <v>153427.5665273077</v>
      </c>
      <c r="I65" s="80">
        <f>+J65*$F$4</f>
        <v>1055395.0875000001</v>
      </c>
      <c r="J65" s="81">
        <v>140075</v>
      </c>
      <c r="K65" s="81">
        <f t="shared" si="14"/>
        <v>140075</v>
      </c>
      <c r="L65" s="81">
        <f t="shared" si="14"/>
        <v>140075</v>
      </c>
    </row>
    <row r="66" spans="1:12" s="87" customFormat="1" x14ac:dyDescent="0.25">
      <c r="A66" s="90">
        <v>32</v>
      </c>
      <c r="B66" s="292" t="s">
        <v>34</v>
      </c>
      <c r="C66" s="293"/>
      <c r="D66" s="294"/>
      <c r="E66" s="92">
        <v>33921.43</v>
      </c>
      <c r="F66" s="92">
        <f>+E66/$F$4</f>
        <v>4502.1474550401481</v>
      </c>
      <c r="G66" s="85">
        <v>57000</v>
      </c>
      <c r="H66" s="86">
        <f t="shared" si="0"/>
        <v>7565.2000796336843</v>
      </c>
      <c r="I66" s="80">
        <f t="shared" si="15"/>
        <v>44604.240000000005</v>
      </c>
      <c r="J66" s="81">
        <v>5920</v>
      </c>
      <c r="K66" s="81">
        <f t="shared" si="14"/>
        <v>5920</v>
      </c>
      <c r="L66" s="81">
        <f t="shared" si="14"/>
        <v>5920</v>
      </c>
    </row>
    <row r="67" spans="1:12" hidden="1" x14ac:dyDescent="0.25">
      <c r="A67" s="37">
        <v>37</v>
      </c>
      <c r="B67" s="353" t="s">
        <v>58</v>
      </c>
      <c r="C67" s="354"/>
      <c r="D67" s="355"/>
      <c r="E67" s="92"/>
      <c r="F67" s="92">
        <f t="shared" ref="F67" si="16">+E67/$F$4</f>
        <v>0</v>
      </c>
      <c r="G67" s="85"/>
      <c r="H67" s="86">
        <f t="shared" si="0"/>
        <v>0</v>
      </c>
      <c r="I67" s="61">
        <f t="shared" si="15"/>
        <v>0</v>
      </c>
      <c r="J67" s="53"/>
      <c r="K67" s="53">
        <f t="shared" si="14"/>
        <v>0</v>
      </c>
      <c r="L67" s="53">
        <f t="shared" si="14"/>
        <v>0</v>
      </c>
    </row>
    <row r="68" spans="1:12" s="87" customFormat="1" ht="14.25" customHeight="1" x14ac:dyDescent="0.25">
      <c r="A68" s="90">
        <v>34</v>
      </c>
      <c r="B68" s="304" t="s">
        <v>72</v>
      </c>
      <c r="C68" s="305"/>
      <c r="D68" s="306"/>
      <c r="E68" s="92">
        <v>9491.6200000000008</v>
      </c>
      <c r="F68" s="92">
        <f>+E68/$F$4</f>
        <v>1259.7544628044329</v>
      </c>
      <c r="G68" s="85">
        <v>8000</v>
      </c>
      <c r="H68" s="86">
        <f t="shared" si="0"/>
        <v>1061.7824673170085</v>
      </c>
      <c r="I68" s="80"/>
      <c r="J68" s="81"/>
      <c r="K68" s="81"/>
      <c r="L68" s="81"/>
    </row>
    <row r="69" spans="1:12" s="87" customFormat="1" x14ac:dyDescent="0.25">
      <c r="A69" s="120" t="s">
        <v>123</v>
      </c>
      <c r="B69" s="356" t="s">
        <v>146</v>
      </c>
      <c r="C69" s="357"/>
      <c r="D69" s="358"/>
      <c r="E69" s="121">
        <f>+E70+E71</f>
        <v>0</v>
      </c>
      <c r="F69" s="121">
        <f>+F70+F71</f>
        <v>0</v>
      </c>
      <c r="G69" s="233">
        <v>7100</v>
      </c>
      <c r="H69" s="234">
        <f t="shared" ref="H69:H70" si="17">+G69/$F$4</f>
        <v>942.33193974384494</v>
      </c>
      <c r="I69" s="122">
        <f>+J69*7.5345</f>
        <v>0</v>
      </c>
      <c r="J69" s="123">
        <f>+J70</f>
        <v>0</v>
      </c>
      <c r="K69" s="123">
        <f t="shared" ref="K69" si="18">+J69</f>
        <v>0</v>
      </c>
      <c r="L69" s="123">
        <f t="shared" ref="L69" si="19">+L70</f>
        <v>0</v>
      </c>
    </row>
    <row r="70" spans="1:12" s="87" customFormat="1" x14ac:dyDescent="0.25">
      <c r="A70" s="38">
        <v>32</v>
      </c>
      <c r="B70" s="292" t="s">
        <v>34</v>
      </c>
      <c r="C70" s="293"/>
      <c r="D70" s="294"/>
      <c r="E70" s="92"/>
      <c r="F70" s="92"/>
      <c r="G70" s="85">
        <v>7100</v>
      </c>
      <c r="H70" s="86">
        <f t="shared" si="17"/>
        <v>942.33193974384494</v>
      </c>
      <c r="I70" s="80"/>
      <c r="J70" s="81"/>
      <c r="K70" s="81"/>
      <c r="L70" s="113"/>
    </row>
    <row r="71" spans="1:12" s="87" customFormat="1" hidden="1" x14ac:dyDescent="0.25">
      <c r="A71" s="38">
        <v>42</v>
      </c>
      <c r="B71" s="304" t="s">
        <v>67</v>
      </c>
      <c r="C71" s="305"/>
      <c r="D71" s="306"/>
      <c r="E71" s="92"/>
      <c r="F71" s="92"/>
      <c r="G71" s="52"/>
      <c r="H71" s="60"/>
      <c r="I71" s="80"/>
      <c r="J71" s="81"/>
      <c r="K71" s="81"/>
      <c r="L71" s="113"/>
    </row>
    <row r="72" spans="1:12" s="87" customFormat="1" ht="14.25" hidden="1" customHeight="1" x14ac:dyDescent="0.25">
      <c r="A72" s="90"/>
      <c r="B72" s="161"/>
      <c r="C72" s="162"/>
      <c r="D72" s="163"/>
      <c r="E72" s="92"/>
      <c r="F72" s="92"/>
      <c r="G72" s="85"/>
      <c r="H72" s="86"/>
      <c r="I72" s="80"/>
      <c r="J72" s="81"/>
      <c r="K72" s="81"/>
      <c r="L72" s="81"/>
    </row>
    <row r="73" spans="1:12" s="87" customFormat="1" ht="14.25" hidden="1" customHeight="1" x14ac:dyDescent="0.25">
      <c r="A73" s="90"/>
      <c r="B73" s="161"/>
      <c r="C73" s="162"/>
      <c r="D73" s="163"/>
      <c r="E73" s="92"/>
      <c r="F73" s="92"/>
      <c r="G73" s="85"/>
      <c r="H73" s="86"/>
      <c r="I73" s="80"/>
      <c r="J73" s="81"/>
      <c r="K73" s="81"/>
      <c r="L73" s="81"/>
    </row>
    <row r="74" spans="1:12" s="87" customFormat="1" ht="14.25" hidden="1" customHeight="1" x14ac:dyDescent="0.25">
      <c r="A74" s="90"/>
      <c r="B74" s="161"/>
      <c r="C74" s="162"/>
      <c r="D74" s="163"/>
      <c r="E74" s="92"/>
      <c r="F74" s="92"/>
      <c r="G74" s="85"/>
      <c r="H74" s="86"/>
      <c r="I74" s="80"/>
      <c r="J74" s="81"/>
      <c r="K74" s="81"/>
      <c r="L74" s="81"/>
    </row>
    <row r="75" spans="1:12" s="87" customFormat="1" ht="14.25" hidden="1" customHeight="1" x14ac:dyDescent="0.25">
      <c r="A75" s="90"/>
      <c r="B75" s="161"/>
      <c r="C75" s="162"/>
      <c r="D75" s="163"/>
      <c r="E75" s="92"/>
      <c r="F75" s="92"/>
      <c r="G75" s="85"/>
      <c r="H75" s="86"/>
      <c r="I75" s="80"/>
      <c r="J75" s="81"/>
      <c r="K75" s="81"/>
      <c r="L75" s="81"/>
    </row>
    <row r="76" spans="1:12" s="87" customFormat="1" ht="14.25" hidden="1" customHeight="1" x14ac:dyDescent="0.25">
      <c r="A76" s="90"/>
      <c r="B76" s="161"/>
      <c r="C76" s="162"/>
      <c r="D76" s="163"/>
      <c r="E76" s="92"/>
      <c r="F76" s="92"/>
      <c r="G76" s="85"/>
      <c r="H76" s="86"/>
      <c r="I76" s="80"/>
      <c r="J76" s="81"/>
      <c r="K76" s="81"/>
      <c r="L76" s="81"/>
    </row>
    <row r="77" spans="1:12" s="87" customFormat="1" x14ac:dyDescent="0.25">
      <c r="A77" s="120" t="s">
        <v>88</v>
      </c>
      <c r="B77" s="344" t="s">
        <v>82</v>
      </c>
      <c r="C77" s="345"/>
      <c r="D77" s="346"/>
      <c r="E77" s="121">
        <f>+E78+E79</f>
        <v>330537.03999999998</v>
      </c>
      <c r="F77" s="121">
        <f>+F78+F79</f>
        <v>43869.804233857583</v>
      </c>
      <c r="G77" s="233">
        <f>SUM(G78:G79)</f>
        <v>438600</v>
      </c>
      <c r="H77" s="234">
        <f t="shared" si="0"/>
        <v>58212.223770654986</v>
      </c>
      <c r="I77" s="122">
        <f>+J77*7.5345</f>
        <v>319462.80000000005</v>
      </c>
      <c r="J77" s="123">
        <f>+J78</f>
        <v>42400</v>
      </c>
      <c r="K77" s="123">
        <f t="shared" si="14"/>
        <v>42400</v>
      </c>
      <c r="L77" s="123">
        <f t="shared" ref="L77" si="20">+L78</f>
        <v>42400</v>
      </c>
    </row>
    <row r="78" spans="1:12" s="87" customFormat="1" x14ac:dyDescent="0.25">
      <c r="A78" s="38">
        <v>32</v>
      </c>
      <c r="B78" s="292" t="s">
        <v>34</v>
      </c>
      <c r="C78" s="293"/>
      <c r="D78" s="294"/>
      <c r="E78" s="92">
        <v>324007.90999999997</v>
      </c>
      <c r="F78" s="92">
        <f>+E78/F4</f>
        <v>43003.239763753394</v>
      </c>
      <c r="G78" s="85">
        <v>438100</v>
      </c>
      <c r="H78" s="86">
        <f t="shared" si="0"/>
        <v>58145.862366447669</v>
      </c>
      <c r="I78" s="80">
        <f>+I77</f>
        <v>319462.80000000005</v>
      </c>
      <c r="J78" s="81">
        <v>42400</v>
      </c>
      <c r="K78" s="81">
        <f t="shared" si="14"/>
        <v>42400</v>
      </c>
      <c r="L78" s="113">
        <v>42400</v>
      </c>
    </row>
    <row r="79" spans="1:12" s="87" customFormat="1" x14ac:dyDescent="0.25">
      <c r="A79" s="38">
        <v>42</v>
      </c>
      <c r="B79" s="304" t="s">
        <v>67</v>
      </c>
      <c r="C79" s="305"/>
      <c r="D79" s="306"/>
      <c r="E79" s="92">
        <v>6529.13</v>
      </c>
      <c r="F79" s="92">
        <f>+E79/$F$4</f>
        <v>866.56447010418742</v>
      </c>
      <c r="G79" s="85">
        <v>500</v>
      </c>
      <c r="H79" s="86">
        <f t="shared" si="0"/>
        <v>66.361404207313029</v>
      </c>
      <c r="I79" s="80"/>
      <c r="J79" s="81"/>
      <c r="K79" s="81"/>
      <c r="L79" s="113"/>
    </row>
    <row r="80" spans="1:12" s="87" customFormat="1" ht="15" customHeight="1" x14ac:dyDescent="0.25">
      <c r="A80" s="114" t="s">
        <v>115</v>
      </c>
      <c r="B80" s="310" t="s">
        <v>114</v>
      </c>
      <c r="C80" s="311"/>
      <c r="D80" s="312"/>
      <c r="E80" s="115"/>
      <c r="F80" s="115">
        <f>+E80/$F$4</f>
        <v>0</v>
      </c>
      <c r="G80" s="228">
        <f>+G81+G86</f>
        <v>28500</v>
      </c>
      <c r="H80" s="86">
        <f t="shared" ref="H80" si="21">+G80/$F$4</f>
        <v>3782.6000398168421</v>
      </c>
      <c r="I80" s="80"/>
      <c r="J80" s="81">
        <f>+J81</f>
        <v>3990</v>
      </c>
      <c r="K80" s="81">
        <f>+J80</f>
        <v>3990</v>
      </c>
      <c r="L80" s="81">
        <f>+K80</f>
        <v>3990</v>
      </c>
    </row>
    <row r="81" spans="1:12" s="87" customFormat="1" x14ac:dyDescent="0.25">
      <c r="A81" s="116" t="s">
        <v>87</v>
      </c>
      <c r="B81" s="307" t="s">
        <v>81</v>
      </c>
      <c r="C81" s="308"/>
      <c r="D81" s="309"/>
      <c r="E81" s="117">
        <f>+E82</f>
        <v>0</v>
      </c>
      <c r="F81" s="117">
        <f t="shared" ref="F81" si="22">+E81/$F$4</f>
        <v>0</v>
      </c>
      <c r="G81" s="226">
        <f>+G82</f>
        <v>28500</v>
      </c>
      <c r="H81" s="227">
        <f t="shared" ref="H81:H84" si="23">+G81/$F$4</f>
        <v>3782.6000398168421</v>
      </c>
      <c r="I81" s="118">
        <f>+J81*$F$4</f>
        <v>30062.655000000002</v>
      </c>
      <c r="J81" s="119">
        <f>+J82</f>
        <v>3990</v>
      </c>
      <c r="K81" s="119">
        <f t="shared" ref="K81:K84" si="24">+J81</f>
        <v>3990</v>
      </c>
      <c r="L81" s="119">
        <f>+K81</f>
        <v>3990</v>
      </c>
    </row>
    <row r="82" spans="1:12" s="87" customFormat="1" x14ac:dyDescent="0.25">
      <c r="A82" s="90">
        <v>3</v>
      </c>
      <c r="B82" s="292" t="s">
        <v>22</v>
      </c>
      <c r="C82" s="293"/>
      <c r="D82" s="294"/>
      <c r="E82" s="92"/>
      <c r="F82" s="92"/>
      <c r="G82" s="85">
        <v>28500</v>
      </c>
      <c r="H82" s="86">
        <f t="shared" si="23"/>
        <v>3782.6000398168421</v>
      </c>
      <c r="I82" s="80">
        <f>+J82*$F$4</f>
        <v>30062.655000000002</v>
      </c>
      <c r="J82" s="81">
        <f>+J83+J84+J85</f>
        <v>3990</v>
      </c>
      <c r="K82" s="81">
        <f t="shared" si="24"/>
        <v>3990</v>
      </c>
      <c r="L82" s="81">
        <f>+K82</f>
        <v>3990</v>
      </c>
    </row>
    <row r="83" spans="1:12" s="87" customFormat="1" x14ac:dyDescent="0.25">
      <c r="A83" s="90">
        <v>31</v>
      </c>
      <c r="B83" s="292" t="s">
        <v>25</v>
      </c>
      <c r="C83" s="293"/>
      <c r="D83" s="294"/>
      <c r="E83" s="92"/>
      <c r="F83" s="92"/>
      <c r="G83" s="85"/>
      <c r="H83" s="86">
        <f t="shared" si="23"/>
        <v>0</v>
      </c>
      <c r="I83" s="80">
        <f>+J83*$F$4</f>
        <v>0</v>
      </c>
      <c r="J83" s="81"/>
      <c r="K83" s="81">
        <f t="shared" si="24"/>
        <v>0</v>
      </c>
      <c r="L83" s="81">
        <f t="shared" ref="L83:L84" si="25">+K83</f>
        <v>0</v>
      </c>
    </row>
    <row r="84" spans="1:12" s="87" customFormat="1" x14ac:dyDescent="0.25">
      <c r="A84" s="90">
        <v>32</v>
      </c>
      <c r="B84" s="292" t="s">
        <v>34</v>
      </c>
      <c r="C84" s="293"/>
      <c r="D84" s="294"/>
      <c r="E84" s="51"/>
      <c r="F84" s="51"/>
      <c r="G84" s="85">
        <v>28500</v>
      </c>
      <c r="H84" s="86">
        <f t="shared" si="23"/>
        <v>3782.6000398168421</v>
      </c>
      <c r="I84" s="80">
        <f t="shared" ref="I84" si="26">+J84*$F$4</f>
        <v>30062.655000000002</v>
      </c>
      <c r="J84" s="81">
        <v>3990</v>
      </c>
      <c r="K84" s="81">
        <f t="shared" si="24"/>
        <v>3990</v>
      </c>
      <c r="L84" s="81">
        <f t="shared" si="25"/>
        <v>3990</v>
      </c>
    </row>
    <row r="85" spans="1:12" s="87" customFormat="1" hidden="1" x14ac:dyDescent="0.25">
      <c r="A85" s="38"/>
      <c r="B85" s="39"/>
      <c r="C85" s="40"/>
      <c r="D85" s="41"/>
      <c r="E85" s="51"/>
      <c r="F85" s="51"/>
      <c r="G85" s="52"/>
      <c r="H85" s="60"/>
      <c r="I85" s="80"/>
      <c r="J85" s="81"/>
      <c r="K85" s="81"/>
      <c r="L85" s="113"/>
    </row>
    <row r="86" spans="1:12" s="87" customFormat="1" hidden="1" x14ac:dyDescent="0.25">
      <c r="A86" s="38"/>
      <c r="B86" s="39"/>
      <c r="C86" s="40"/>
      <c r="D86" s="41"/>
      <c r="E86" s="51"/>
      <c r="F86" s="51"/>
      <c r="G86" s="52"/>
      <c r="H86" s="60"/>
      <c r="I86" s="80"/>
      <c r="J86" s="81"/>
      <c r="K86" s="81"/>
      <c r="L86" s="113"/>
    </row>
    <row r="87" spans="1:12" s="87" customFormat="1" ht="23.45" customHeight="1" x14ac:dyDescent="0.25">
      <c r="A87" s="114" t="s">
        <v>61</v>
      </c>
      <c r="B87" s="310" t="s">
        <v>62</v>
      </c>
      <c r="C87" s="311"/>
      <c r="D87" s="312"/>
      <c r="E87" s="115">
        <f t="shared" ref="E87:G88" si="27">+E88</f>
        <v>119651</v>
      </c>
      <c r="F87" s="115">
        <f t="shared" si="27"/>
        <v>15880.416749618422</v>
      </c>
      <c r="G87" s="228">
        <f t="shared" si="27"/>
        <v>186000</v>
      </c>
      <c r="H87" s="86">
        <f t="shared" si="0"/>
        <v>24686.442365120445</v>
      </c>
      <c r="I87" s="80">
        <f>+J87*$F$4</f>
        <v>114999.07350000001</v>
      </c>
      <c r="J87" s="81">
        <f>+J88</f>
        <v>15263</v>
      </c>
      <c r="K87" s="81">
        <f t="shared" si="14"/>
        <v>15263</v>
      </c>
      <c r="L87" s="81">
        <f t="shared" ref="L87" si="28">+L88</f>
        <v>15263</v>
      </c>
    </row>
    <row r="88" spans="1:12" s="87" customFormat="1" x14ac:dyDescent="0.25">
      <c r="A88" s="116" t="s">
        <v>87</v>
      </c>
      <c r="B88" s="307" t="s">
        <v>81</v>
      </c>
      <c r="C88" s="308"/>
      <c r="D88" s="309"/>
      <c r="E88" s="117">
        <f t="shared" si="27"/>
        <v>119651</v>
      </c>
      <c r="F88" s="117">
        <f t="shared" si="27"/>
        <v>15880.416749618422</v>
      </c>
      <c r="G88" s="226">
        <f>SUM(G90:G92)</f>
        <v>186000</v>
      </c>
      <c r="H88" s="227">
        <f t="shared" si="0"/>
        <v>24686.442365120445</v>
      </c>
      <c r="I88" s="118">
        <f t="shared" ref="I88:I91" si="29">+J88*$F$4</f>
        <v>114999.07350000001</v>
      </c>
      <c r="J88" s="119">
        <f>+J89</f>
        <v>15263</v>
      </c>
      <c r="K88" s="119">
        <f>+J88</f>
        <v>15263</v>
      </c>
      <c r="L88" s="119">
        <f>+J88</f>
        <v>15263</v>
      </c>
    </row>
    <row r="89" spans="1:12" s="87" customFormat="1" x14ac:dyDescent="0.25">
      <c r="A89" s="90">
        <v>3</v>
      </c>
      <c r="B89" s="292" t="s">
        <v>22</v>
      </c>
      <c r="C89" s="293"/>
      <c r="D89" s="294"/>
      <c r="E89" s="92">
        <v>119651</v>
      </c>
      <c r="F89" s="92">
        <f>+E89/$F$4</f>
        <v>15880.416749618422</v>
      </c>
      <c r="G89" s="85"/>
      <c r="H89" s="86">
        <f t="shared" si="0"/>
        <v>0</v>
      </c>
      <c r="I89" s="80">
        <f t="shared" si="29"/>
        <v>114999.07350000001</v>
      </c>
      <c r="J89" s="81">
        <f>+J90+J91</f>
        <v>15263</v>
      </c>
      <c r="K89" s="81">
        <f>+J89</f>
        <v>15263</v>
      </c>
      <c r="L89" s="113">
        <f>+K89</f>
        <v>15263</v>
      </c>
    </row>
    <row r="90" spans="1:12" s="87" customFormat="1" x14ac:dyDescent="0.25">
      <c r="A90" s="90">
        <v>31</v>
      </c>
      <c r="B90" s="292" t="s">
        <v>25</v>
      </c>
      <c r="C90" s="293"/>
      <c r="D90" s="294"/>
      <c r="E90" s="92">
        <v>112142.17</v>
      </c>
      <c r="F90" s="92">
        <f t="shared" ref="F90:F92" si="30">+E90/$F$4</f>
        <v>14883.823744110425</v>
      </c>
      <c r="G90" s="85">
        <v>167000</v>
      </c>
      <c r="H90" s="86">
        <f t="shared" si="0"/>
        <v>22164.709005242548</v>
      </c>
      <c r="I90" s="80">
        <f t="shared" si="29"/>
        <v>99176.623500000002</v>
      </c>
      <c r="J90" s="81">
        <v>13163</v>
      </c>
      <c r="K90" s="81">
        <f t="shared" ref="K90:L91" si="31">+J90</f>
        <v>13163</v>
      </c>
      <c r="L90" s="113">
        <f t="shared" si="31"/>
        <v>13163</v>
      </c>
    </row>
    <row r="91" spans="1:12" s="87" customFormat="1" x14ac:dyDescent="0.25">
      <c r="A91" s="90">
        <v>32</v>
      </c>
      <c r="B91" s="292" t="s">
        <v>34</v>
      </c>
      <c r="C91" s="293"/>
      <c r="D91" s="294"/>
      <c r="E91" s="92">
        <v>5550</v>
      </c>
      <c r="F91" s="92">
        <f t="shared" si="30"/>
        <v>736.61158670117459</v>
      </c>
      <c r="G91" s="85">
        <v>15500</v>
      </c>
      <c r="H91" s="86">
        <f t="shared" si="0"/>
        <v>2057.2035304267038</v>
      </c>
      <c r="I91" s="80">
        <f t="shared" si="29"/>
        <v>15822.45</v>
      </c>
      <c r="J91" s="81">
        <v>2100</v>
      </c>
      <c r="K91" s="81">
        <f t="shared" si="31"/>
        <v>2100</v>
      </c>
      <c r="L91" s="113">
        <f t="shared" si="31"/>
        <v>2100</v>
      </c>
    </row>
    <row r="92" spans="1:12" s="87" customFormat="1" x14ac:dyDescent="0.25">
      <c r="A92" s="90">
        <v>34</v>
      </c>
      <c r="B92" s="304" t="s">
        <v>49</v>
      </c>
      <c r="C92" s="305"/>
      <c r="D92" s="306"/>
      <c r="E92" s="92">
        <v>1959.8</v>
      </c>
      <c r="F92" s="92">
        <f t="shared" si="30"/>
        <v>260.11015993098414</v>
      </c>
      <c r="G92" s="85">
        <v>3500</v>
      </c>
      <c r="H92" s="86">
        <f t="shared" si="0"/>
        <v>464.52982945119118</v>
      </c>
      <c r="I92" s="80"/>
      <c r="J92" s="81"/>
      <c r="K92" s="81"/>
      <c r="L92" s="113"/>
    </row>
    <row r="93" spans="1:12" s="87" customFormat="1" ht="25.15" customHeight="1" x14ac:dyDescent="0.25">
      <c r="A93" s="84" t="s">
        <v>63</v>
      </c>
      <c r="B93" s="323" t="s">
        <v>64</v>
      </c>
      <c r="C93" s="324"/>
      <c r="D93" s="325"/>
      <c r="E93" s="115">
        <f>+E94+E98</f>
        <v>333534.26</v>
      </c>
      <c r="F93" s="115">
        <f>+F94+F98</f>
        <v>44267.603689694071</v>
      </c>
      <c r="G93" s="228">
        <f>+G95+G98</f>
        <v>639000</v>
      </c>
      <c r="H93" s="86">
        <f t="shared" si="0"/>
        <v>84809.874576946037</v>
      </c>
      <c r="I93" s="80">
        <f>+J93*$F$4</f>
        <v>693023.31</v>
      </c>
      <c r="J93" s="81">
        <f>+J94+J98</f>
        <v>91980</v>
      </c>
      <c r="K93" s="81">
        <f t="shared" ref="K93:L95" si="32">+J93</f>
        <v>91980</v>
      </c>
      <c r="L93" s="81">
        <f t="shared" si="32"/>
        <v>91980</v>
      </c>
    </row>
    <row r="94" spans="1:12" s="87" customFormat="1" x14ac:dyDescent="0.25">
      <c r="A94" s="116" t="s">
        <v>87</v>
      </c>
      <c r="B94" s="307" t="s">
        <v>81</v>
      </c>
      <c r="C94" s="308"/>
      <c r="D94" s="309"/>
      <c r="E94" s="117">
        <f>SUM(E96:E97)</f>
        <v>89742.080000000002</v>
      </c>
      <c r="F94" s="117">
        <f>SUM(F96:F97)</f>
        <v>11910.820890570043</v>
      </c>
      <c r="G94" s="226">
        <f>+G95</f>
        <v>214500</v>
      </c>
      <c r="H94" s="227">
        <f t="shared" si="0"/>
        <v>28469.042404937289</v>
      </c>
      <c r="I94" s="118">
        <f>+I95</f>
        <v>403020.40500000003</v>
      </c>
      <c r="J94" s="119">
        <f>+J95</f>
        <v>53490</v>
      </c>
      <c r="K94" s="119">
        <f t="shared" si="32"/>
        <v>53490</v>
      </c>
      <c r="L94" s="119">
        <f t="shared" si="32"/>
        <v>53490</v>
      </c>
    </row>
    <row r="95" spans="1:12" s="87" customFormat="1" x14ac:dyDescent="0.25">
      <c r="A95" s="90">
        <v>3</v>
      </c>
      <c r="B95" s="292" t="s">
        <v>22</v>
      </c>
      <c r="C95" s="293"/>
      <c r="D95" s="294"/>
      <c r="E95" s="92">
        <f>+E97+E96</f>
        <v>89742.080000000002</v>
      </c>
      <c r="F95" s="92">
        <f t="shared" ref="F95:F97" si="33">+E95/$F$4</f>
        <v>11910.820890570045</v>
      </c>
      <c r="G95" s="228">
        <f>+G96+G97</f>
        <v>214500</v>
      </c>
      <c r="H95" s="86">
        <f t="shared" si="0"/>
        <v>28469.042404937289</v>
      </c>
      <c r="I95" s="80">
        <f>+J95*$F$4</f>
        <v>403020.40500000003</v>
      </c>
      <c r="J95" s="81">
        <f>+J96+J97</f>
        <v>53490</v>
      </c>
      <c r="K95" s="81">
        <f t="shared" si="32"/>
        <v>53490</v>
      </c>
      <c r="L95" s="113">
        <f t="shared" si="32"/>
        <v>53490</v>
      </c>
    </row>
    <row r="96" spans="1:12" s="87" customFormat="1" x14ac:dyDescent="0.25">
      <c r="A96" s="90">
        <v>31</v>
      </c>
      <c r="B96" s="292" t="s">
        <v>25</v>
      </c>
      <c r="C96" s="293"/>
      <c r="D96" s="294"/>
      <c r="E96" s="92">
        <v>85242.08</v>
      </c>
      <c r="F96" s="92">
        <f t="shared" si="33"/>
        <v>11313.568252704226</v>
      </c>
      <c r="G96" s="85">
        <v>189000</v>
      </c>
      <c r="H96" s="86">
        <f t="shared" si="0"/>
        <v>25084.610790364324</v>
      </c>
      <c r="I96" s="80">
        <f t="shared" ref="I96:I97" si="34">+J96*$F$4</f>
        <v>390211.755</v>
      </c>
      <c r="J96" s="81">
        <v>51790</v>
      </c>
      <c r="K96" s="81">
        <f t="shared" ref="K96:L97" si="35">+J96</f>
        <v>51790</v>
      </c>
      <c r="L96" s="113">
        <f t="shared" si="35"/>
        <v>51790</v>
      </c>
    </row>
    <row r="97" spans="1:12" s="87" customFormat="1" x14ac:dyDescent="0.25">
      <c r="A97" s="90">
        <v>32</v>
      </c>
      <c r="B97" s="292" t="s">
        <v>34</v>
      </c>
      <c r="C97" s="293"/>
      <c r="D97" s="294"/>
      <c r="E97" s="92">
        <v>4500</v>
      </c>
      <c r="F97" s="92">
        <f t="shared" si="33"/>
        <v>597.25263786581718</v>
      </c>
      <c r="G97" s="85">
        <v>25500</v>
      </c>
      <c r="H97" s="86">
        <f t="shared" si="0"/>
        <v>3384.431614572964</v>
      </c>
      <c r="I97" s="80">
        <f t="shared" si="34"/>
        <v>12808.650000000001</v>
      </c>
      <c r="J97" s="81">
        <v>1700</v>
      </c>
      <c r="K97" s="81">
        <f t="shared" si="35"/>
        <v>1700</v>
      </c>
      <c r="L97" s="113">
        <f t="shared" si="35"/>
        <v>1700</v>
      </c>
    </row>
    <row r="98" spans="1:12" s="87" customFormat="1" x14ac:dyDescent="0.25">
      <c r="A98" s="124" t="s">
        <v>89</v>
      </c>
      <c r="B98" s="295" t="s">
        <v>83</v>
      </c>
      <c r="C98" s="296"/>
      <c r="D98" s="297"/>
      <c r="E98" s="125">
        <f>+E100+E101</f>
        <v>243792.18</v>
      </c>
      <c r="F98" s="125">
        <f>+F100+F101</f>
        <v>32356.78279912403</v>
      </c>
      <c r="G98" s="235">
        <f>+G100+G101</f>
        <v>424500</v>
      </c>
      <c r="H98" s="236">
        <f t="shared" si="0"/>
        <v>56340.832172008755</v>
      </c>
      <c r="I98" s="126">
        <f>+J98*F4</f>
        <v>290002.90500000003</v>
      </c>
      <c r="J98" s="127">
        <f>+J99</f>
        <v>38490</v>
      </c>
      <c r="K98" s="127">
        <f t="shared" ref="K98" si="36">+K99</f>
        <v>38490</v>
      </c>
      <c r="L98" s="127">
        <f t="shared" ref="L98" si="37">+L99</f>
        <v>38490</v>
      </c>
    </row>
    <row r="99" spans="1:12" s="87" customFormat="1" x14ac:dyDescent="0.25">
      <c r="A99" s="128">
        <v>3</v>
      </c>
      <c r="B99" s="332" t="s">
        <v>22</v>
      </c>
      <c r="C99" s="333"/>
      <c r="D99" s="334"/>
      <c r="E99" s="115"/>
      <c r="F99" s="115"/>
      <c r="G99" s="55"/>
      <c r="H99" s="60"/>
      <c r="I99" s="80">
        <f>+J99*7.5345</f>
        <v>290002.90500000003</v>
      </c>
      <c r="J99" s="81">
        <f>+J100+J101</f>
        <v>38490</v>
      </c>
      <c r="K99" s="81">
        <f t="shared" ref="K99" si="38">+K100+K101</f>
        <v>38490</v>
      </c>
      <c r="L99" s="81">
        <f t="shared" ref="L99" si="39">+L100+L101</f>
        <v>38490</v>
      </c>
    </row>
    <row r="100" spans="1:12" s="87" customFormat="1" x14ac:dyDescent="0.25">
      <c r="A100" s="128">
        <v>31</v>
      </c>
      <c r="B100" s="298" t="s">
        <v>90</v>
      </c>
      <c r="C100" s="299"/>
      <c r="D100" s="300"/>
      <c r="E100" s="92">
        <v>235074</v>
      </c>
      <c r="F100" s="92">
        <f>+E100/7.5345</f>
        <v>31199.681465259804</v>
      </c>
      <c r="G100" s="85">
        <v>389500</v>
      </c>
      <c r="H100" s="86">
        <f t="shared" si="0"/>
        <v>51695.533877496848</v>
      </c>
      <c r="I100" s="80">
        <f>+J100*7.5345</f>
        <v>250522.125</v>
      </c>
      <c r="J100" s="81">
        <v>33250</v>
      </c>
      <c r="K100" s="81">
        <v>33250</v>
      </c>
      <c r="L100" s="113">
        <v>33250</v>
      </c>
    </row>
    <row r="101" spans="1:12" s="87" customFormat="1" x14ac:dyDescent="0.25">
      <c r="A101" s="128">
        <v>32</v>
      </c>
      <c r="B101" s="298" t="s">
        <v>34</v>
      </c>
      <c r="C101" s="299"/>
      <c r="D101" s="300"/>
      <c r="E101" s="92">
        <v>8718.18</v>
      </c>
      <c r="F101" s="92">
        <f>+E101/7.5345</f>
        <v>1157.1013338642244</v>
      </c>
      <c r="G101" s="85">
        <v>35000</v>
      </c>
      <c r="H101" s="86">
        <f t="shared" si="0"/>
        <v>4645.298294511912</v>
      </c>
      <c r="I101" s="80">
        <f>+J101*7.5345</f>
        <v>39480.78</v>
      </c>
      <c r="J101" s="81">
        <v>5240</v>
      </c>
      <c r="K101" s="81">
        <v>5240</v>
      </c>
      <c r="L101" s="113">
        <v>5240</v>
      </c>
    </row>
    <row r="102" spans="1:12" s="87" customFormat="1" hidden="1" x14ac:dyDescent="0.25">
      <c r="A102" s="128"/>
      <c r="B102" s="137"/>
      <c r="C102" s="138"/>
      <c r="D102" s="139"/>
      <c r="E102" s="51"/>
      <c r="F102" s="51"/>
      <c r="G102" s="52"/>
      <c r="H102" s="60"/>
      <c r="I102" s="80"/>
      <c r="J102" s="81"/>
      <c r="K102" s="81"/>
      <c r="L102" s="113"/>
    </row>
    <row r="103" spans="1:12" s="87" customFormat="1" ht="25.15" customHeight="1" x14ac:dyDescent="0.25">
      <c r="A103" s="84" t="s">
        <v>116</v>
      </c>
      <c r="B103" s="323" t="s">
        <v>117</v>
      </c>
      <c r="C103" s="324"/>
      <c r="D103" s="325"/>
      <c r="E103" s="115">
        <f>+E104+E108</f>
        <v>13782.060000000001</v>
      </c>
      <c r="F103" s="115">
        <f>+F104+F108</f>
        <v>1829.1937089388812</v>
      </c>
      <c r="G103" s="228">
        <f>+G105+G108+G112</f>
        <v>87000</v>
      </c>
      <c r="H103" s="86">
        <f t="shared" ref="H103:H117" si="40">+G103/$F$4</f>
        <v>11546.884332072466</v>
      </c>
      <c r="I103" s="80">
        <f>+J103*$F$4</f>
        <v>66981.705000000002</v>
      </c>
      <c r="J103" s="81">
        <f>+J104+J108</f>
        <v>8890</v>
      </c>
      <c r="K103" s="81">
        <f t="shared" ref="K103:L103" si="41">+J103</f>
        <v>8890</v>
      </c>
      <c r="L103" s="81">
        <f t="shared" si="41"/>
        <v>8890</v>
      </c>
    </row>
    <row r="104" spans="1:12" s="87" customFormat="1" x14ac:dyDescent="0.25">
      <c r="A104" s="116" t="s">
        <v>87</v>
      </c>
      <c r="B104" s="307" t="s">
        <v>81</v>
      </c>
      <c r="C104" s="308"/>
      <c r="D104" s="309"/>
      <c r="E104" s="117">
        <f>+E107</f>
        <v>4782.0600000000004</v>
      </c>
      <c r="F104" s="117">
        <f>+F107</f>
        <v>634.6884332072467</v>
      </c>
      <c r="G104" s="226">
        <f>+G105</f>
        <v>30000</v>
      </c>
      <c r="H104" s="227">
        <f t="shared" si="40"/>
        <v>3981.6842524387812</v>
      </c>
      <c r="I104" s="118">
        <f>+I105</f>
        <v>33905.25</v>
      </c>
      <c r="J104" s="119">
        <f>+J105</f>
        <v>4500</v>
      </c>
      <c r="K104" s="119">
        <f t="shared" ref="K104:L104" si="42">+J104</f>
        <v>4500</v>
      </c>
      <c r="L104" s="119">
        <f t="shared" si="42"/>
        <v>4500</v>
      </c>
    </row>
    <row r="105" spans="1:12" s="87" customFormat="1" x14ac:dyDescent="0.25">
      <c r="A105" s="90">
        <v>3</v>
      </c>
      <c r="B105" s="292" t="s">
        <v>22</v>
      </c>
      <c r="C105" s="293"/>
      <c r="D105" s="294"/>
      <c r="E105" s="92">
        <f>+E107</f>
        <v>4782.0600000000004</v>
      </c>
      <c r="F105" s="92">
        <f t="shared" ref="F105:F107" si="43">+E105/7.5345</f>
        <v>634.6884332072467</v>
      </c>
      <c r="G105" s="228">
        <v>30000</v>
      </c>
      <c r="H105" s="86">
        <f t="shared" si="40"/>
        <v>3981.6842524387812</v>
      </c>
      <c r="I105" s="80">
        <f>+J105*$F$4</f>
        <v>33905.25</v>
      </c>
      <c r="J105" s="81">
        <f>+J106+J107</f>
        <v>4500</v>
      </c>
      <c r="K105" s="81">
        <f t="shared" ref="K105:L107" si="44">+J105</f>
        <v>4500</v>
      </c>
      <c r="L105" s="113">
        <f t="shared" si="44"/>
        <v>4500</v>
      </c>
    </row>
    <row r="106" spans="1:12" s="87" customFormat="1" hidden="1" x14ac:dyDescent="0.25">
      <c r="A106" s="90">
        <v>31</v>
      </c>
      <c r="B106" s="292" t="s">
        <v>25</v>
      </c>
      <c r="C106" s="293"/>
      <c r="D106" s="294"/>
      <c r="E106" s="92"/>
      <c r="F106" s="92">
        <f t="shared" si="43"/>
        <v>0</v>
      </c>
      <c r="G106" s="85">
        <v>68000</v>
      </c>
      <c r="H106" s="86">
        <f t="shared" si="40"/>
        <v>9025.1509721945713</v>
      </c>
      <c r="I106" s="80">
        <f t="shared" ref="I106:I107" si="45">+J106*$F$4</f>
        <v>0</v>
      </c>
      <c r="J106" s="81"/>
      <c r="K106" s="81">
        <f t="shared" si="44"/>
        <v>0</v>
      </c>
      <c r="L106" s="113">
        <f t="shared" si="44"/>
        <v>0</v>
      </c>
    </row>
    <row r="107" spans="1:12" s="87" customFormat="1" x14ac:dyDescent="0.25">
      <c r="A107" s="90">
        <v>32</v>
      </c>
      <c r="B107" s="292" t="s">
        <v>34</v>
      </c>
      <c r="C107" s="293"/>
      <c r="D107" s="294"/>
      <c r="E107" s="92">
        <v>4782.0600000000004</v>
      </c>
      <c r="F107" s="92">
        <f t="shared" si="43"/>
        <v>634.6884332072467</v>
      </c>
      <c r="G107" s="85">
        <v>30000</v>
      </c>
      <c r="H107" s="86">
        <f t="shared" si="40"/>
        <v>3981.6842524387812</v>
      </c>
      <c r="I107" s="80">
        <f t="shared" si="45"/>
        <v>33905.25</v>
      </c>
      <c r="J107" s="81">
        <v>4500</v>
      </c>
      <c r="K107" s="81">
        <f t="shared" si="44"/>
        <v>4500</v>
      </c>
      <c r="L107" s="113">
        <f t="shared" si="44"/>
        <v>4500</v>
      </c>
    </row>
    <row r="108" spans="1:12" s="87" customFormat="1" x14ac:dyDescent="0.25">
      <c r="A108" s="124" t="s">
        <v>88</v>
      </c>
      <c r="B108" s="295" t="s">
        <v>82</v>
      </c>
      <c r="C108" s="296"/>
      <c r="D108" s="297"/>
      <c r="E108" s="125">
        <f>SUM(E111)</f>
        <v>9000</v>
      </c>
      <c r="F108" s="125">
        <f>SUM(F109)</f>
        <v>1194.5052757316344</v>
      </c>
      <c r="G108" s="235">
        <f>SUM(G111)</f>
        <v>51000</v>
      </c>
      <c r="H108" s="236">
        <f t="shared" si="40"/>
        <v>6768.863229145928</v>
      </c>
      <c r="I108" s="126">
        <f t="shared" ref="I108:I114" si="46">+J108*7.5345</f>
        <v>33076.455000000002</v>
      </c>
      <c r="J108" s="127">
        <f>+J109</f>
        <v>4390</v>
      </c>
      <c r="K108" s="127">
        <f t="shared" ref="K108:L108" si="47">+K109</f>
        <v>4390</v>
      </c>
      <c r="L108" s="127">
        <f t="shared" si="47"/>
        <v>4390</v>
      </c>
    </row>
    <row r="109" spans="1:12" s="87" customFormat="1" x14ac:dyDescent="0.25">
      <c r="A109" s="128">
        <v>3</v>
      </c>
      <c r="B109" s="298" t="s">
        <v>22</v>
      </c>
      <c r="C109" s="299"/>
      <c r="D109" s="300"/>
      <c r="E109" s="115">
        <v>9000</v>
      </c>
      <c r="F109" s="92">
        <f t="shared" ref="F109:F111" si="48">+E109/7.5345</f>
        <v>1194.5052757316344</v>
      </c>
      <c r="G109" s="228"/>
      <c r="H109" s="86">
        <f t="shared" si="40"/>
        <v>0</v>
      </c>
      <c r="I109" s="80">
        <f t="shared" si="46"/>
        <v>33076.455000000002</v>
      </c>
      <c r="J109" s="81">
        <f>+J110+J111</f>
        <v>4390</v>
      </c>
      <c r="K109" s="81">
        <f t="shared" ref="K109:L109" si="49">+K110+K111</f>
        <v>4390</v>
      </c>
      <c r="L109" s="81">
        <f t="shared" si="49"/>
        <v>4390</v>
      </c>
    </row>
    <row r="110" spans="1:12" s="87" customFormat="1" hidden="1" x14ac:dyDescent="0.25">
      <c r="A110" s="128">
        <v>31</v>
      </c>
      <c r="B110" s="298" t="s">
        <v>90</v>
      </c>
      <c r="C110" s="299"/>
      <c r="D110" s="300"/>
      <c r="E110" s="92">
        <v>164906.85999999999</v>
      </c>
      <c r="F110" s="92">
        <f t="shared" si="48"/>
        <v>21886.901586037558</v>
      </c>
      <c r="G110" s="52">
        <v>166500</v>
      </c>
      <c r="H110" s="86">
        <f t="shared" si="40"/>
        <v>22098.347601035235</v>
      </c>
      <c r="I110" s="80">
        <f t="shared" si="46"/>
        <v>0</v>
      </c>
      <c r="J110" s="81"/>
      <c r="K110" s="81"/>
      <c r="L110" s="113"/>
    </row>
    <row r="111" spans="1:12" s="87" customFormat="1" x14ac:dyDescent="0.25">
      <c r="A111" s="128">
        <v>32</v>
      </c>
      <c r="B111" s="298" t="s">
        <v>34</v>
      </c>
      <c r="C111" s="299"/>
      <c r="D111" s="300"/>
      <c r="E111" s="92">
        <v>9000</v>
      </c>
      <c r="F111" s="92">
        <f t="shared" si="48"/>
        <v>1194.5052757316344</v>
      </c>
      <c r="G111" s="85">
        <v>51000</v>
      </c>
      <c r="H111" s="86">
        <f t="shared" si="40"/>
        <v>6768.863229145928</v>
      </c>
      <c r="I111" s="80">
        <f t="shared" si="46"/>
        <v>33076.455000000002</v>
      </c>
      <c r="J111" s="81">
        <v>4390</v>
      </c>
      <c r="K111" s="81">
        <v>4390</v>
      </c>
      <c r="L111" s="113">
        <v>4390</v>
      </c>
    </row>
    <row r="112" spans="1:12" s="87" customFormat="1" x14ac:dyDescent="0.25">
      <c r="A112" s="124" t="s">
        <v>123</v>
      </c>
      <c r="B112" s="295" t="s">
        <v>124</v>
      </c>
      <c r="C112" s="296"/>
      <c r="D112" s="297"/>
      <c r="E112" s="125">
        <f>SUM(E115)</f>
        <v>0</v>
      </c>
      <c r="F112" s="125">
        <f>SUM(F113)</f>
        <v>0</v>
      </c>
      <c r="G112" s="235">
        <f>SUM(G115)</f>
        <v>6000</v>
      </c>
      <c r="H112" s="86">
        <f t="shared" si="40"/>
        <v>796.33685048775624</v>
      </c>
      <c r="I112" s="126">
        <f t="shared" si="46"/>
        <v>0</v>
      </c>
      <c r="J112" s="127">
        <f>+J113</f>
        <v>0</v>
      </c>
      <c r="K112" s="127">
        <f t="shared" ref="K112:L112" si="50">+K113</f>
        <v>0</v>
      </c>
      <c r="L112" s="127">
        <f t="shared" si="50"/>
        <v>0</v>
      </c>
    </row>
    <row r="113" spans="1:12" s="87" customFormat="1" x14ac:dyDescent="0.25">
      <c r="A113" s="128">
        <v>3</v>
      </c>
      <c r="B113" s="298" t="s">
        <v>22</v>
      </c>
      <c r="C113" s="299"/>
      <c r="D113" s="300"/>
      <c r="E113" s="115"/>
      <c r="F113" s="92">
        <f t="shared" ref="F113:F114" si="51">+E113/7.5345</f>
        <v>0</v>
      </c>
      <c r="G113" s="228">
        <f>SUM(G115)</f>
        <v>6000</v>
      </c>
      <c r="H113" s="86">
        <f t="shared" si="40"/>
        <v>796.33685048775624</v>
      </c>
      <c r="I113" s="80">
        <f t="shared" si="46"/>
        <v>0</v>
      </c>
      <c r="J113" s="81">
        <f>+J114+J115</f>
        <v>0</v>
      </c>
      <c r="K113" s="81">
        <f t="shared" ref="K113:L113" si="52">+K114+K115</f>
        <v>0</v>
      </c>
      <c r="L113" s="81">
        <f t="shared" si="52"/>
        <v>0</v>
      </c>
    </row>
    <row r="114" spans="1:12" s="87" customFormat="1" hidden="1" x14ac:dyDescent="0.25">
      <c r="A114" s="128">
        <v>31</v>
      </c>
      <c r="B114" s="298" t="s">
        <v>90</v>
      </c>
      <c r="C114" s="299"/>
      <c r="D114" s="300"/>
      <c r="E114" s="92">
        <v>164906.85999999999</v>
      </c>
      <c r="F114" s="92">
        <f t="shared" si="51"/>
        <v>21886.901586037558</v>
      </c>
      <c r="G114" s="85">
        <v>166500</v>
      </c>
      <c r="H114" s="86">
        <f t="shared" si="40"/>
        <v>22098.347601035235</v>
      </c>
      <c r="I114" s="80">
        <f t="shared" si="46"/>
        <v>0</v>
      </c>
      <c r="J114" s="81"/>
      <c r="K114" s="81"/>
      <c r="L114" s="113"/>
    </row>
    <row r="115" spans="1:12" s="87" customFormat="1" x14ac:dyDescent="0.25">
      <c r="A115" s="128">
        <v>32</v>
      </c>
      <c r="B115" s="298" t="s">
        <v>34</v>
      </c>
      <c r="C115" s="299"/>
      <c r="D115" s="300"/>
      <c r="E115" s="92"/>
      <c r="F115" s="92"/>
      <c r="G115" s="85">
        <v>6000</v>
      </c>
      <c r="H115" s="86">
        <f t="shared" si="40"/>
        <v>796.33685048775624</v>
      </c>
      <c r="I115" s="80"/>
      <c r="J115" s="81"/>
      <c r="K115" s="81"/>
      <c r="L115" s="113"/>
    </row>
    <row r="116" spans="1:12" s="87" customFormat="1" hidden="1" x14ac:dyDescent="0.25">
      <c r="A116" s="128"/>
      <c r="B116" s="137"/>
      <c r="C116" s="138"/>
      <c r="D116" s="139"/>
      <c r="E116" s="51"/>
      <c r="F116" s="51"/>
      <c r="G116" s="52"/>
      <c r="H116" s="86">
        <f t="shared" si="40"/>
        <v>0</v>
      </c>
      <c r="I116" s="80"/>
      <c r="J116" s="81"/>
      <c r="K116" s="81"/>
      <c r="L116" s="113"/>
    </row>
    <row r="117" spans="1:12" s="87" customFormat="1" ht="25.15" customHeight="1" x14ac:dyDescent="0.25">
      <c r="A117" s="84" t="s">
        <v>127</v>
      </c>
      <c r="B117" s="323" t="s">
        <v>128</v>
      </c>
      <c r="C117" s="324"/>
      <c r="D117" s="325"/>
      <c r="E117" s="115"/>
      <c r="F117" s="115"/>
      <c r="G117" s="228">
        <f>+G119+G122</f>
        <v>0</v>
      </c>
      <c r="H117" s="86">
        <f t="shared" si="40"/>
        <v>0</v>
      </c>
      <c r="I117" s="80">
        <f>+J117*$F$4</f>
        <v>0</v>
      </c>
      <c r="J117" s="81">
        <f>+J118+J122</f>
        <v>0</v>
      </c>
      <c r="K117" s="81">
        <f t="shared" ref="K117:K121" si="53">+J117</f>
        <v>0</v>
      </c>
      <c r="L117" s="81">
        <f t="shared" ref="L117:L121" si="54">+K117</f>
        <v>0</v>
      </c>
    </row>
    <row r="118" spans="1:12" s="248" customFormat="1" x14ac:dyDescent="0.25">
      <c r="A118" s="172" t="s">
        <v>88</v>
      </c>
      <c r="B118" s="344" t="s">
        <v>81</v>
      </c>
      <c r="C118" s="345"/>
      <c r="D118" s="346"/>
      <c r="E118" s="121">
        <f>+E121</f>
        <v>500</v>
      </c>
      <c r="F118" s="121">
        <f>+F121</f>
        <v>66.361404207313029</v>
      </c>
      <c r="G118" s="233">
        <f>+G119</f>
        <v>0</v>
      </c>
      <c r="H118" s="234">
        <f t="shared" ref="H118:H122" si="55">+G118/$F$4</f>
        <v>0</v>
      </c>
      <c r="I118" s="122">
        <f>+I119</f>
        <v>0</v>
      </c>
      <c r="J118" s="123">
        <f>+J119</f>
        <v>0</v>
      </c>
      <c r="K118" s="123">
        <f t="shared" si="53"/>
        <v>0</v>
      </c>
      <c r="L118" s="123">
        <f t="shared" si="54"/>
        <v>0</v>
      </c>
    </row>
    <row r="119" spans="1:12" s="87" customFormat="1" x14ac:dyDescent="0.25">
      <c r="A119" s="90">
        <v>3</v>
      </c>
      <c r="B119" s="292" t="s">
        <v>22</v>
      </c>
      <c r="C119" s="293"/>
      <c r="D119" s="294"/>
      <c r="E119" s="92">
        <f>+E121</f>
        <v>500</v>
      </c>
      <c r="F119" s="92">
        <f t="shared" ref="F119:F121" si="56">+E119/7.5345</f>
        <v>66.361404207313029</v>
      </c>
      <c r="G119" s="228">
        <v>0</v>
      </c>
      <c r="H119" s="86">
        <f t="shared" si="55"/>
        <v>0</v>
      </c>
      <c r="I119" s="80">
        <f>+J119*$F$4</f>
        <v>0</v>
      </c>
      <c r="J119" s="81">
        <f>+J120+J121</f>
        <v>0</v>
      </c>
      <c r="K119" s="81">
        <f t="shared" si="53"/>
        <v>0</v>
      </c>
      <c r="L119" s="113">
        <f t="shared" si="54"/>
        <v>0</v>
      </c>
    </row>
    <row r="120" spans="1:12" s="87" customFormat="1" hidden="1" x14ac:dyDescent="0.25">
      <c r="A120" s="90">
        <v>31</v>
      </c>
      <c r="B120" s="292" t="s">
        <v>25</v>
      </c>
      <c r="C120" s="293"/>
      <c r="D120" s="294"/>
      <c r="E120" s="92"/>
      <c r="F120" s="92">
        <f t="shared" si="56"/>
        <v>0</v>
      </c>
      <c r="G120" s="85">
        <v>68000</v>
      </c>
      <c r="H120" s="86">
        <f t="shared" si="55"/>
        <v>9025.1509721945713</v>
      </c>
      <c r="I120" s="80">
        <f t="shared" ref="I120:I121" si="57">+J120*$F$4</f>
        <v>0</v>
      </c>
      <c r="J120" s="81"/>
      <c r="K120" s="81">
        <f t="shared" si="53"/>
        <v>0</v>
      </c>
      <c r="L120" s="113">
        <f t="shared" si="54"/>
        <v>0</v>
      </c>
    </row>
    <row r="121" spans="1:12" s="87" customFormat="1" x14ac:dyDescent="0.25">
      <c r="A121" s="90">
        <v>32</v>
      </c>
      <c r="B121" s="292" t="s">
        <v>34</v>
      </c>
      <c r="C121" s="293"/>
      <c r="D121" s="294"/>
      <c r="E121" s="92">
        <v>500</v>
      </c>
      <c r="F121" s="92">
        <f t="shared" si="56"/>
        <v>66.361404207313029</v>
      </c>
      <c r="G121" s="85">
        <v>0</v>
      </c>
      <c r="H121" s="86">
        <f t="shared" si="55"/>
        <v>0</v>
      </c>
      <c r="I121" s="80">
        <f t="shared" si="57"/>
        <v>0</v>
      </c>
      <c r="J121" s="81"/>
      <c r="K121" s="81">
        <f t="shared" si="53"/>
        <v>0</v>
      </c>
      <c r="L121" s="113">
        <f t="shared" si="54"/>
        <v>0</v>
      </c>
    </row>
    <row r="122" spans="1:12" s="87" customFormat="1" hidden="1" x14ac:dyDescent="0.25">
      <c r="A122" s="124" t="s">
        <v>88</v>
      </c>
      <c r="B122" s="295" t="s">
        <v>82</v>
      </c>
      <c r="C122" s="296"/>
      <c r="D122" s="297"/>
      <c r="E122" s="125">
        <f>SUM(E125)</f>
        <v>0</v>
      </c>
      <c r="F122" s="125">
        <f>SUM(F123)</f>
        <v>0</v>
      </c>
      <c r="G122" s="167"/>
      <c r="H122" s="70">
        <f t="shared" si="55"/>
        <v>0</v>
      </c>
      <c r="I122" s="126">
        <f>+J122*7.5345</f>
        <v>0</v>
      </c>
      <c r="J122" s="127">
        <f>+J123</f>
        <v>0</v>
      </c>
      <c r="K122" s="127">
        <f t="shared" ref="K122:L122" si="58">+K123</f>
        <v>0</v>
      </c>
      <c r="L122" s="127">
        <f t="shared" si="58"/>
        <v>0</v>
      </c>
    </row>
    <row r="123" spans="1:12" s="87" customFormat="1" hidden="1" x14ac:dyDescent="0.25">
      <c r="A123" s="128">
        <v>3</v>
      </c>
      <c r="B123" s="298" t="s">
        <v>22</v>
      </c>
      <c r="C123" s="299"/>
      <c r="D123" s="300"/>
      <c r="E123" s="115"/>
      <c r="F123" s="92"/>
      <c r="G123" s="55"/>
      <c r="H123" s="60"/>
      <c r="I123" s="80">
        <f>+J123*7.5345</f>
        <v>0</v>
      </c>
      <c r="J123" s="81">
        <f>+J124+J125</f>
        <v>0</v>
      </c>
      <c r="K123" s="81">
        <f t="shared" ref="K123:L123" si="59">+K124+K125</f>
        <v>0</v>
      </c>
      <c r="L123" s="81">
        <f t="shared" si="59"/>
        <v>0</v>
      </c>
    </row>
    <row r="124" spans="1:12" s="87" customFormat="1" hidden="1" x14ac:dyDescent="0.25">
      <c r="A124" s="128">
        <v>31</v>
      </c>
      <c r="B124" s="298" t="s">
        <v>90</v>
      </c>
      <c r="C124" s="299"/>
      <c r="D124" s="300"/>
      <c r="E124" s="92">
        <v>164906.85999999999</v>
      </c>
      <c r="F124" s="92">
        <f t="shared" ref="F124:F125" si="60">+E124/7.5345</f>
        <v>21886.901586037558</v>
      </c>
      <c r="G124" s="52">
        <v>166500</v>
      </c>
      <c r="H124" s="60">
        <f t="shared" ref="H124:H125" si="61">+G124/$F$4</f>
        <v>22098.347601035235</v>
      </c>
      <c r="I124" s="80">
        <f>+J124*7.5345</f>
        <v>0</v>
      </c>
      <c r="J124" s="81"/>
      <c r="K124" s="81"/>
      <c r="L124" s="113"/>
    </row>
    <row r="125" spans="1:12" s="87" customFormat="1" hidden="1" x14ac:dyDescent="0.25">
      <c r="A125" s="128">
        <v>32</v>
      </c>
      <c r="B125" s="298" t="s">
        <v>34</v>
      </c>
      <c r="C125" s="299"/>
      <c r="D125" s="300"/>
      <c r="E125" s="92"/>
      <c r="F125" s="92">
        <f t="shared" si="60"/>
        <v>0</v>
      </c>
      <c r="G125" s="52"/>
      <c r="H125" s="60">
        <f t="shared" si="61"/>
        <v>0</v>
      </c>
      <c r="I125" s="80">
        <f>+J125*7.5345</f>
        <v>0</v>
      </c>
      <c r="J125" s="81"/>
      <c r="K125" s="81"/>
      <c r="L125" s="113"/>
    </row>
    <row r="126" spans="1:12" s="87" customFormat="1" hidden="1" x14ac:dyDescent="0.25">
      <c r="A126" s="128"/>
      <c r="B126" s="137"/>
      <c r="C126" s="138"/>
      <c r="D126" s="139"/>
      <c r="E126" s="51"/>
      <c r="F126" s="51"/>
      <c r="G126" s="52"/>
      <c r="H126" s="60"/>
      <c r="I126" s="80"/>
      <c r="J126" s="81"/>
      <c r="K126" s="81"/>
      <c r="L126" s="113"/>
    </row>
    <row r="127" spans="1:12" s="87" customFormat="1" hidden="1" x14ac:dyDescent="0.25">
      <c r="A127" s="128"/>
      <c r="B127" s="137"/>
      <c r="C127" s="138"/>
      <c r="D127" s="139"/>
      <c r="E127" s="51"/>
      <c r="F127" s="51"/>
      <c r="G127" s="52"/>
      <c r="H127" s="60"/>
      <c r="I127" s="80"/>
      <c r="J127" s="81"/>
      <c r="K127" s="81"/>
      <c r="L127" s="113"/>
    </row>
    <row r="128" spans="1:12" s="87" customFormat="1" ht="25.15" customHeight="1" x14ac:dyDescent="0.25">
      <c r="A128" s="129" t="s">
        <v>65</v>
      </c>
      <c r="B128" s="323" t="s">
        <v>66</v>
      </c>
      <c r="C128" s="324"/>
      <c r="D128" s="325"/>
      <c r="E128" s="92">
        <f>+E129</f>
        <v>242839.22</v>
      </c>
      <c r="F128" s="92">
        <f>+F129</f>
        <v>32230.303271617227</v>
      </c>
      <c r="G128" s="228">
        <f>+G129</f>
        <v>300000</v>
      </c>
      <c r="H128" s="86">
        <f t="shared" si="0"/>
        <v>39816.842524387816</v>
      </c>
      <c r="I128" s="80"/>
      <c r="J128" s="81"/>
      <c r="K128" s="81"/>
      <c r="L128" s="113"/>
    </row>
    <row r="129" spans="1:12" s="87" customFormat="1" ht="15" customHeight="1" x14ac:dyDescent="0.25">
      <c r="A129" s="130" t="s">
        <v>88</v>
      </c>
      <c r="B129" s="344" t="s">
        <v>82</v>
      </c>
      <c r="C129" s="345"/>
      <c r="D129" s="346"/>
      <c r="E129" s="121">
        <f>+E130</f>
        <v>242839.22</v>
      </c>
      <c r="F129" s="121">
        <f>+E129/7.5345</f>
        <v>32230.303271617227</v>
      </c>
      <c r="G129" s="233">
        <v>300000</v>
      </c>
      <c r="H129" s="234">
        <f t="shared" si="0"/>
        <v>39816.842524387816</v>
      </c>
      <c r="I129" s="122">
        <f>+I130</f>
        <v>301380</v>
      </c>
      <c r="J129" s="123">
        <v>40000</v>
      </c>
      <c r="K129" s="123">
        <v>40790</v>
      </c>
      <c r="L129" s="123">
        <v>40000</v>
      </c>
    </row>
    <row r="130" spans="1:12" s="87" customFormat="1" ht="15" customHeight="1" x14ac:dyDescent="0.25">
      <c r="A130" s="90">
        <v>4</v>
      </c>
      <c r="B130" s="292" t="s">
        <v>26</v>
      </c>
      <c r="C130" s="293"/>
      <c r="D130" s="294"/>
      <c r="E130" s="92">
        <f>+E131</f>
        <v>242839.22</v>
      </c>
      <c r="F130" s="92">
        <f t="shared" ref="F130:F131" si="62">+E130/7.5345</f>
        <v>32230.303271617227</v>
      </c>
      <c r="G130" s="85">
        <v>300000</v>
      </c>
      <c r="H130" s="86">
        <f t="shared" si="0"/>
        <v>39816.842524387816</v>
      </c>
      <c r="I130" s="80">
        <f>+J130*7.5345</f>
        <v>301380</v>
      </c>
      <c r="J130" s="81">
        <v>40000</v>
      </c>
      <c r="K130" s="131">
        <v>40790</v>
      </c>
      <c r="L130" s="113">
        <v>40000</v>
      </c>
    </row>
    <row r="131" spans="1:12" s="87" customFormat="1" ht="15" customHeight="1" x14ac:dyDescent="0.25">
      <c r="A131" s="90">
        <v>42</v>
      </c>
      <c r="B131" s="292" t="s">
        <v>67</v>
      </c>
      <c r="C131" s="293"/>
      <c r="D131" s="294"/>
      <c r="E131" s="92">
        <v>242839.22</v>
      </c>
      <c r="F131" s="92">
        <f t="shared" si="62"/>
        <v>32230.303271617227</v>
      </c>
      <c r="G131" s="85">
        <v>300000</v>
      </c>
      <c r="H131" s="86">
        <f t="shared" si="0"/>
        <v>39816.842524387816</v>
      </c>
      <c r="I131" s="80">
        <f>+I130</f>
        <v>301380</v>
      </c>
      <c r="J131" s="81">
        <v>40000</v>
      </c>
      <c r="K131" s="131">
        <v>40790</v>
      </c>
      <c r="L131" s="113">
        <v>40000</v>
      </c>
    </row>
    <row r="132" spans="1:12" s="87" customFormat="1" ht="26.45" customHeight="1" x14ac:dyDescent="0.25">
      <c r="A132" s="84" t="s">
        <v>68</v>
      </c>
      <c r="B132" s="323" t="s">
        <v>69</v>
      </c>
      <c r="C132" s="324"/>
      <c r="D132" s="325"/>
      <c r="E132" s="115">
        <f>+E133+E136</f>
        <v>21874.17</v>
      </c>
      <c r="F132" s="115">
        <f>+E132/7.5345</f>
        <v>2903.2012741389603</v>
      </c>
      <c r="G132" s="228">
        <v>26000</v>
      </c>
      <c r="H132" s="86">
        <f t="shared" si="0"/>
        <v>3450.7930187802772</v>
      </c>
      <c r="I132" s="80"/>
      <c r="J132" s="81"/>
      <c r="K132" s="81"/>
      <c r="L132" s="113"/>
    </row>
    <row r="133" spans="1:12" s="87" customFormat="1" x14ac:dyDescent="0.25">
      <c r="A133" s="132" t="s">
        <v>89</v>
      </c>
      <c r="B133" s="295" t="s">
        <v>83</v>
      </c>
      <c r="C133" s="296"/>
      <c r="D133" s="297"/>
      <c r="E133" s="125">
        <v>20300</v>
      </c>
      <c r="F133" s="125">
        <f>+E133/7.5345</f>
        <v>2694.2730108169089</v>
      </c>
      <c r="G133" s="237">
        <f>+G132</f>
        <v>26000</v>
      </c>
      <c r="H133" s="236">
        <f t="shared" si="0"/>
        <v>3450.7930187802772</v>
      </c>
      <c r="I133" s="126">
        <v>22000.74</v>
      </c>
      <c r="J133" s="127">
        <v>2920</v>
      </c>
      <c r="K133" s="127">
        <f>+J133</f>
        <v>2920</v>
      </c>
      <c r="L133" s="127">
        <v>2920</v>
      </c>
    </row>
    <row r="134" spans="1:12" s="87" customFormat="1" x14ac:dyDescent="0.25">
      <c r="A134" s="90">
        <v>3</v>
      </c>
      <c r="B134" s="292" t="s">
        <v>22</v>
      </c>
      <c r="C134" s="293"/>
      <c r="D134" s="294"/>
      <c r="E134" s="92">
        <v>20300</v>
      </c>
      <c r="F134" s="92">
        <f t="shared" ref="F134:F136" si="63">+E134/7.5345</f>
        <v>2694.2730108169089</v>
      </c>
      <c r="G134" s="85">
        <f>+G133</f>
        <v>26000</v>
      </c>
      <c r="H134" s="86">
        <f t="shared" si="0"/>
        <v>3450.7930187802772</v>
      </c>
      <c r="I134" s="80">
        <v>22000.74</v>
      </c>
      <c r="J134" s="81">
        <v>2920</v>
      </c>
      <c r="K134" s="81">
        <f>+J134</f>
        <v>2920</v>
      </c>
      <c r="L134" s="113">
        <f>+K134</f>
        <v>2920</v>
      </c>
    </row>
    <row r="135" spans="1:12" s="87" customFormat="1" x14ac:dyDescent="0.25">
      <c r="A135" s="90">
        <v>32</v>
      </c>
      <c r="B135" s="292" t="s">
        <v>34</v>
      </c>
      <c r="C135" s="293"/>
      <c r="D135" s="294"/>
      <c r="E135" s="92">
        <v>20300</v>
      </c>
      <c r="F135" s="92">
        <f t="shared" si="63"/>
        <v>2694.2730108169089</v>
      </c>
      <c r="G135" s="85">
        <f>+G134</f>
        <v>26000</v>
      </c>
      <c r="H135" s="86">
        <f t="shared" si="0"/>
        <v>3450.7930187802772</v>
      </c>
      <c r="I135" s="80">
        <v>22000.74</v>
      </c>
      <c r="J135" s="81">
        <v>2920</v>
      </c>
      <c r="K135" s="81">
        <f>+K134</f>
        <v>2920</v>
      </c>
      <c r="L135" s="113">
        <f>+K135</f>
        <v>2920</v>
      </c>
    </row>
    <row r="136" spans="1:12" x14ac:dyDescent="0.25">
      <c r="A136" s="180" t="s">
        <v>91</v>
      </c>
      <c r="B136" s="338" t="s">
        <v>83</v>
      </c>
      <c r="C136" s="339"/>
      <c r="D136" s="340"/>
      <c r="E136" s="170">
        <v>1574.17</v>
      </c>
      <c r="F136" s="170">
        <f t="shared" si="63"/>
        <v>208.92826332205189</v>
      </c>
      <c r="G136" s="237">
        <v>0</v>
      </c>
      <c r="H136" s="236">
        <f t="shared" si="0"/>
        <v>0</v>
      </c>
      <c r="I136" s="71"/>
      <c r="J136" s="72"/>
      <c r="K136" s="72"/>
      <c r="L136" s="73"/>
    </row>
    <row r="137" spans="1:12" x14ac:dyDescent="0.25">
      <c r="A137" s="171">
        <v>32</v>
      </c>
      <c r="B137" s="298" t="s">
        <v>34</v>
      </c>
      <c r="C137" s="299"/>
      <c r="D137" s="300"/>
      <c r="E137" s="92">
        <v>1574.17</v>
      </c>
      <c r="F137" s="92">
        <f>+E137/7.5345</f>
        <v>208.92826332205189</v>
      </c>
      <c r="G137" s="85">
        <v>0</v>
      </c>
      <c r="H137" s="86">
        <f t="shared" si="0"/>
        <v>0</v>
      </c>
      <c r="I137" s="61"/>
      <c r="J137" s="53"/>
      <c r="K137" s="53"/>
      <c r="L137" s="59"/>
    </row>
    <row r="138" spans="1:12" s="87" customFormat="1" x14ac:dyDescent="0.25">
      <c r="A138" s="140">
        <v>8056</v>
      </c>
      <c r="B138" s="341" t="s">
        <v>73</v>
      </c>
      <c r="C138" s="342"/>
      <c r="D138" s="343"/>
      <c r="E138" s="178">
        <f>+E139</f>
        <v>198000</v>
      </c>
      <c r="F138" s="178">
        <f>+F139</f>
        <v>26279.116066095958</v>
      </c>
      <c r="G138" s="228">
        <f>+G139+G145</f>
        <v>152000</v>
      </c>
      <c r="H138" s="86">
        <f t="shared" si="0"/>
        <v>20173.86687902316</v>
      </c>
      <c r="I138" s="80">
        <f>+I139</f>
        <v>199686.8535</v>
      </c>
      <c r="J138" s="81">
        <f>+J140</f>
        <v>26503</v>
      </c>
      <c r="K138" s="81">
        <f t="shared" ref="K138:L138" si="64">+K140</f>
        <v>26503</v>
      </c>
      <c r="L138" s="81">
        <f t="shared" si="64"/>
        <v>26503</v>
      </c>
    </row>
    <row r="139" spans="1:12" s="87" customFormat="1" ht="28.9" customHeight="1" x14ac:dyDescent="0.25">
      <c r="A139" s="84" t="s">
        <v>74</v>
      </c>
      <c r="B139" s="323" t="s">
        <v>75</v>
      </c>
      <c r="C139" s="324"/>
      <c r="D139" s="325"/>
      <c r="E139" s="115">
        <f>+E140</f>
        <v>198000</v>
      </c>
      <c r="F139" s="115">
        <f>+F140</f>
        <v>26279.116066095958</v>
      </c>
      <c r="G139" s="228">
        <v>150000</v>
      </c>
      <c r="H139" s="86">
        <f t="shared" si="0"/>
        <v>19908.421262193908</v>
      </c>
      <c r="I139" s="80">
        <f>+I140</f>
        <v>199686.8535</v>
      </c>
      <c r="J139" s="81">
        <f>+J138</f>
        <v>26503</v>
      </c>
      <c r="K139" s="81">
        <f t="shared" ref="K139:L139" si="65">+K138</f>
        <v>26503</v>
      </c>
      <c r="L139" s="81">
        <f t="shared" si="65"/>
        <v>26503</v>
      </c>
    </row>
    <row r="140" spans="1:12" s="87" customFormat="1" x14ac:dyDescent="0.25">
      <c r="A140" s="133" t="s">
        <v>84</v>
      </c>
      <c r="B140" s="335" t="s">
        <v>78</v>
      </c>
      <c r="C140" s="336"/>
      <c r="D140" s="337"/>
      <c r="E140" s="134">
        <v>198000</v>
      </c>
      <c r="F140" s="134">
        <f>E140/7.5345</f>
        <v>26279.116066095958</v>
      </c>
      <c r="G140" s="238">
        <f>+G139</f>
        <v>150000</v>
      </c>
      <c r="H140" s="239">
        <f t="shared" si="0"/>
        <v>19908.421262193908</v>
      </c>
      <c r="I140" s="135">
        <f>+J140*7.5345</f>
        <v>199686.8535</v>
      </c>
      <c r="J140" s="136">
        <f>+J141</f>
        <v>26503</v>
      </c>
      <c r="K140" s="136">
        <f t="shared" ref="K140:L142" si="66">+J140</f>
        <v>26503</v>
      </c>
      <c r="L140" s="136">
        <f t="shared" si="66"/>
        <v>26503</v>
      </c>
    </row>
    <row r="141" spans="1:12" s="87" customFormat="1" x14ac:dyDescent="0.25">
      <c r="A141" s="90">
        <v>4</v>
      </c>
      <c r="B141" s="292" t="s">
        <v>26</v>
      </c>
      <c r="C141" s="293"/>
      <c r="D141" s="294"/>
      <c r="E141" s="92">
        <v>198000</v>
      </c>
      <c r="F141" s="92">
        <f>E141/7.5345</f>
        <v>26279.116066095958</v>
      </c>
      <c r="G141" s="85">
        <f t="shared" ref="G141:G142" si="67">+G140</f>
        <v>150000</v>
      </c>
      <c r="H141" s="86">
        <f t="shared" si="0"/>
        <v>19908.421262193908</v>
      </c>
      <c r="I141" s="80">
        <f>+I140</f>
        <v>199686.8535</v>
      </c>
      <c r="J141" s="81">
        <v>26503</v>
      </c>
      <c r="K141" s="131">
        <f t="shared" si="66"/>
        <v>26503</v>
      </c>
      <c r="L141" s="131">
        <f t="shared" si="66"/>
        <v>26503</v>
      </c>
    </row>
    <row r="142" spans="1:12" s="87" customFormat="1" x14ac:dyDescent="0.25">
      <c r="A142" s="90">
        <v>42</v>
      </c>
      <c r="B142" s="292" t="s">
        <v>67</v>
      </c>
      <c r="C142" s="293"/>
      <c r="D142" s="294"/>
      <c r="E142" s="92">
        <v>198000</v>
      </c>
      <c r="F142" s="92">
        <f t="shared" ref="F142" si="68">E142/7.5345</f>
        <v>26279.116066095958</v>
      </c>
      <c r="G142" s="85">
        <f t="shared" si="67"/>
        <v>150000</v>
      </c>
      <c r="H142" s="86">
        <f t="shared" si="0"/>
        <v>19908.421262193908</v>
      </c>
      <c r="I142" s="80">
        <f>+I141</f>
        <v>199686.8535</v>
      </c>
      <c r="J142" s="81">
        <v>26503</v>
      </c>
      <c r="K142" s="131">
        <f t="shared" si="66"/>
        <v>26503</v>
      </c>
      <c r="L142" s="131">
        <f t="shared" si="66"/>
        <v>26503</v>
      </c>
    </row>
    <row r="143" spans="1:12" ht="14.45" customHeight="1" x14ac:dyDescent="0.25">
      <c r="A143" s="140">
        <v>8057</v>
      </c>
      <c r="B143" s="341" t="s">
        <v>93</v>
      </c>
      <c r="C143" s="342"/>
      <c r="D143" s="343"/>
      <c r="E143" s="92">
        <f>+E144</f>
        <v>5000</v>
      </c>
      <c r="F143" s="92">
        <f>+F144</f>
        <v>664</v>
      </c>
      <c r="G143" s="85">
        <f>+G145</f>
        <v>2000</v>
      </c>
      <c r="H143" s="86">
        <f t="shared" si="0"/>
        <v>265.44561682925212</v>
      </c>
      <c r="I143" s="61"/>
      <c r="J143" s="53"/>
      <c r="K143" s="53"/>
      <c r="L143" s="59"/>
    </row>
    <row r="144" spans="1:12" ht="31.9" customHeight="1" x14ac:dyDescent="0.25">
      <c r="A144" s="84" t="s">
        <v>94</v>
      </c>
      <c r="B144" s="323" t="s">
        <v>95</v>
      </c>
      <c r="C144" s="324"/>
      <c r="D144" s="325"/>
      <c r="E144" s="115">
        <f>+E145</f>
        <v>5000</v>
      </c>
      <c r="F144" s="115">
        <f>+F145</f>
        <v>664</v>
      </c>
      <c r="G144" s="228"/>
      <c r="H144" s="86">
        <f t="shared" si="0"/>
        <v>0</v>
      </c>
      <c r="I144" s="61"/>
      <c r="J144" s="53"/>
      <c r="K144" s="53"/>
      <c r="L144" s="59"/>
    </row>
    <row r="145" spans="1:12" x14ac:dyDescent="0.25">
      <c r="A145" s="172" t="s">
        <v>88</v>
      </c>
      <c r="B145" s="344" t="s">
        <v>82</v>
      </c>
      <c r="C145" s="345"/>
      <c r="D145" s="346"/>
      <c r="E145" s="169">
        <f>SUM(E146)</f>
        <v>5000</v>
      </c>
      <c r="F145" s="169">
        <f>SUM(F146)</f>
        <v>664</v>
      </c>
      <c r="G145" s="233">
        <v>2000</v>
      </c>
      <c r="H145" s="234">
        <f>+G145/7.5345</f>
        <v>265.44561682925212</v>
      </c>
      <c r="I145" s="68"/>
      <c r="J145" s="69"/>
      <c r="K145" s="69"/>
      <c r="L145" s="74"/>
    </row>
    <row r="146" spans="1:12" x14ac:dyDescent="0.25">
      <c r="A146" s="90">
        <v>4</v>
      </c>
      <c r="B146" s="292" t="s">
        <v>26</v>
      </c>
      <c r="C146" s="293"/>
      <c r="D146" s="294"/>
      <c r="E146" s="92">
        <v>5000</v>
      </c>
      <c r="F146" s="92">
        <v>664</v>
      </c>
      <c r="G146" s="85">
        <f>+G145</f>
        <v>2000</v>
      </c>
      <c r="H146" s="86">
        <f t="shared" ref="H146:H147" si="69">+G146/7.5345</f>
        <v>265.44561682925212</v>
      </c>
      <c r="I146" s="61"/>
      <c r="J146" s="53"/>
      <c r="K146" s="53"/>
      <c r="L146" s="75"/>
    </row>
    <row r="147" spans="1:12" x14ac:dyDescent="0.25">
      <c r="A147" s="90">
        <v>42</v>
      </c>
      <c r="B147" s="292" t="s">
        <v>67</v>
      </c>
      <c r="C147" s="293"/>
      <c r="D147" s="294"/>
      <c r="E147" s="92">
        <v>5000</v>
      </c>
      <c r="F147" s="92">
        <f t="shared" ref="F147" si="70">E147/7.5345</f>
        <v>663.61404207313024</v>
      </c>
      <c r="G147" s="85">
        <f>+G146</f>
        <v>2000</v>
      </c>
      <c r="H147" s="86">
        <f t="shared" si="69"/>
        <v>265.44561682925212</v>
      </c>
      <c r="I147" s="61"/>
      <c r="J147" s="53"/>
      <c r="K147" s="53"/>
      <c r="L147" s="75"/>
    </row>
  </sheetData>
  <sheetProtection algorithmName="SHA-512" hashValue="I/yOMdm9AEcc+txDSfZEYqBDDSFHoJpsJxC6uqplOzqCrBwB15HeTAlT0g+f7Lep6GsrtPcwPQt7+nMIdEgfdw==" saltValue="g9z2mFn+349DlT/lC+SGrg==" spinCount="100000" sheet="1" objects="1" scenarios="1"/>
  <autoFilter ref="A7:L147" xr:uid="{FB141598-8E38-473F-84AA-9F5DD96FA0CF}">
    <filterColumn colId="1" showButton="0"/>
    <filterColumn colId="2" showButton="0"/>
  </autoFilter>
  <mergeCells count="121">
    <mergeCell ref="B33:D33"/>
    <mergeCell ref="B121:D121"/>
    <mergeCell ref="B122:D122"/>
    <mergeCell ref="B123:D123"/>
    <mergeCell ref="B124:D124"/>
    <mergeCell ref="B38:D38"/>
    <mergeCell ref="B39:D39"/>
    <mergeCell ref="B48:D48"/>
    <mergeCell ref="B47:D47"/>
    <mergeCell ref="B104:D104"/>
    <mergeCell ref="B36:D36"/>
    <mergeCell ref="B118:D118"/>
    <mergeCell ref="B119:D119"/>
    <mergeCell ref="B120:D120"/>
    <mergeCell ref="B92:D92"/>
    <mergeCell ref="B50:D50"/>
    <mergeCell ref="B51:D51"/>
    <mergeCell ref="B52:D52"/>
    <mergeCell ref="B53:D53"/>
    <mergeCell ref="B68:D68"/>
    <mergeCell ref="B79:D79"/>
    <mergeCell ref="B94:D94"/>
    <mergeCell ref="B106:D106"/>
    <mergeCell ref="B107:D107"/>
    <mergeCell ref="B108:D108"/>
    <mergeCell ref="B111:D111"/>
    <mergeCell ref="B70:D70"/>
    <mergeCell ref="B105:D105"/>
    <mergeCell ref="B112:D112"/>
    <mergeCell ref="B113:D113"/>
    <mergeCell ref="B83:D83"/>
    <mergeCell ref="B84:D84"/>
    <mergeCell ref="B146:D146"/>
    <mergeCell ref="B95:D95"/>
    <mergeCell ref="B96:D96"/>
    <mergeCell ref="B114:D114"/>
    <mergeCell ref="B115:D115"/>
    <mergeCell ref="B125:D125"/>
    <mergeCell ref="B117:D117"/>
    <mergeCell ref="B63:D63"/>
    <mergeCell ref="B77:D77"/>
    <mergeCell ref="B78:D78"/>
    <mergeCell ref="B62:D62"/>
    <mergeCell ref="B58:D58"/>
    <mergeCell ref="B59:D59"/>
    <mergeCell ref="B60:D60"/>
    <mergeCell ref="B61:D61"/>
    <mergeCell ref="B93:D93"/>
    <mergeCell ref="B88:D88"/>
    <mergeCell ref="B64:D64"/>
    <mergeCell ref="B65:D65"/>
    <mergeCell ref="B67:D67"/>
    <mergeCell ref="B87:D87"/>
    <mergeCell ref="B69:D69"/>
    <mergeCell ref="B82:D82"/>
    <mergeCell ref="B71:D71"/>
    <mergeCell ref="B147:D147"/>
    <mergeCell ref="B99:D99"/>
    <mergeCell ref="B140:D140"/>
    <mergeCell ref="B136:D136"/>
    <mergeCell ref="B137:D137"/>
    <mergeCell ref="B138:D138"/>
    <mergeCell ref="B139:D139"/>
    <mergeCell ref="B141:D141"/>
    <mergeCell ref="B142:D142"/>
    <mergeCell ref="B134:D134"/>
    <mergeCell ref="B135:D135"/>
    <mergeCell ref="B143:D143"/>
    <mergeCell ref="B133:D133"/>
    <mergeCell ref="B130:D130"/>
    <mergeCell ref="B132:D132"/>
    <mergeCell ref="B103:D103"/>
    <mergeCell ref="B101:D101"/>
    <mergeCell ref="B129:D129"/>
    <mergeCell ref="B128:D128"/>
    <mergeCell ref="B109:D109"/>
    <mergeCell ref="B110:D110"/>
    <mergeCell ref="B131:D131"/>
    <mergeCell ref="B144:D144"/>
    <mergeCell ref="B145:D145"/>
    <mergeCell ref="B7:D7"/>
    <mergeCell ref="B8:D8"/>
    <mergeCell ref="B10:D10"/>
    <mergeCell ref="B31:D31"/>
    <mergeCell ref="B32:D32"/>
    <mergeCell ref="B27:D27"/>
    <mergeCell ref="B28:D28"/>
    <mergeCell ref="B11:D11"/>
    <mergeCell ref="B23:D23"/>
    <mergeCell ref="B12:D12"/>
    <mergeCell ref="B22:D22"/>
    <mergeCell ref="B14:D14"/>
    <mergeCell ref="B15:D15"/>
    <mergeCell ref="B17:D17"/>
    <mergeCell ref="B16:D16"/>
    <mergeCell ref="B30:D30"/>
    <mergeCell ref="B18:D18"/>
    <mergeCell ref="A1:L1"/>
    <mergeCell ref="A3:L3"/>
    <mergeCell ref="B24:D24"/>
    <mergeCell ref="B25:D25"/>
    <mergeCell ref="B26:D26"/>
    <mergeCell ref="B91:D91"/>
    <mergeCell ref="B98:D98"/>
    <mergeCell ref="B100:D100"/>
    <mergeCell ref="B97:D97"/>
    <mergeCell ref="B89:D89"/>
    <mergeCell ref="B90:D90"/>
    <mergeCell ref="B66:D66"/>
    <mergeCell ref="B34:D34"/>
    <mergeCell ref="B35:D35"/>
    <mergeCell ref="B37:D37"/>
    <mergeCell ref="B40:D40"/>
    <mergeCell ref="B81:D81"/>
    <mergeCell ref="B80:D80"/>
    <mergeCell ref="B13:D13"/>
    <mergeCell ref="B5:D5"/>
    <mergeCell ref="B9:D9"/>
    <mergeCell ref="B29:D29"/>
    <mergeCell ref="B45:D45"/>
    <mergeCell ref="B46:D46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362B-D0BF-4DBF-AFC4-E2DE36062F1C}">
  <dimension ref="A2:H14"/>
  <sheetViews>
    <sheetView workbookViewId="0">
      <selection activeCell="A8" sqref="A8:H8"/>
    </sheetView>
  </sheetViews>
  <sheetFormatPr defaultRowHeight="15" x14ac:dyDescent="0.25"/>
  <cols>
    <col min="1" max="2" width="20.5703125" customWidth="1"/>
    <col min="3" max="8" width="18.7109375" customWidth="1"/>
  </cols>
  <sheetData>
    <row r="2" spans="1:8" ht="15.75" x14ac:dyDescent="0.25">
      <c r="A2" s="264" t="s">
        <v>46</v>
      </c>
      <c r="B2" s="264"/>
      <c r="C2" s="264"/>
      <c r="D2" s="264"/>
      <c r="E2" s="264"/>
      <c r="F2" s="264"/>
      <c r="G2" s="264"/>
      <c r="H2" s="264"/>
    </row>
    <row r="3" spans="1:8" ht="18" x14ac:dyDescent="0.25">
      <c r="A3" s="22"/>
      <c r="B3" s="22"/>
      <c r="C3" s="22"/>
      <c r="D3" s="22"/>
      <c r="E3" s="22"/>
      <c r="F3" s="22"/>
      <c r="G3" s="22"/>
      <c r="H3" s="22"/>
    </row>
    <row r="4" spans="1:8" ht="15.75" x14ac:dyDescent="0.25">
      <c r="A4" s="264" t="s">
        <v>31</v>
      </c>
      <c r="B4" s="264"/>
      <c r="C4" s="264"/>
      <c r="D4" s="264"/>
      <c r="E4" s="264"/>
      <c r="F4" s="264"/>
      <c r="G4" s="281"/>
      <c r="H4" s="281"/>
    </row>
    <row r="5" spans="1:8" ht="18" x14ac:dyDescent="0.25">
      <c r="A5" s="22"/>
      <c r="B5" s="22"/>
      <c r="C5" s="22"/>
      <c r="D5" s="22"/>
      <c r="E5" s="22"/>
      <c r="F5" s="22"/>
      <c r="G5" s="6"/>
      <c r="H5" s="6"/>
    </row>
    <row r="6" spans="1:8" ht="15.75" x14ac:dyDescent="0.25">
      <c r="A6" s="264" t="s">
        <v>15</v>
      </c>
      <c r="B6" s="264"/>
      <c r="C6" s="265"/>
      <c r="D6" s="265"/>
      <c r="E6" s="265"/>
      <c r="F6" s="265"/>
      <c r="G6" s="265"/>
      <c r="H6" s="265"/>
    </row>
    <row r="7" spans="1:8" ht="18" x14ac:dyDescent="0.25">
      <c r="A7" s="22"/>
      <c r="B7" s="22"/>
      <c r="C7" s="22"/>
      <c r="D7" s="22"/>
      <c r="E7" s="22"/>
      <c r="F7" s="141"/>
      <c r="G7" s="6"/>
      <c r="H7" s="6"/>
    </row>
    <row r="8" spans="1:8" ht="15.75" x14ac:dyDescent="0.25">
      <c r="A8" s="264" t="s">
        <v>27</v>
      </c>
      <c r="B8" s="264"/>
      <c r="C8" s="285"/>
      <c r="D8" s="285"/>
      <c r="E8" s="285"/>
      <c r="F8" s="285"/>
      <c r="G8" s="285"/>
      <c r="H8" s="285"/>
    </row>
    <row r="9" spans="1:8" ht="18" x14ac:dyDescent="0.25">
      <c r="A9" s="22"/>
      <c r="B9" s="22"/>
      <c r="C9" s="22"/>
      <c r="D9" s="22"/>
      <c r="E9" s="22"/>
      <c r="F9" s="22"/>
      <c r="G9" s="6"/>
      <c r="H9" s="6"/>
    </row>
    <row r="10" spans="1:8" ht="25.5" x14ac:dyDescent="0.25">
      <c r="A10" s="18" t="s">
        <v>28</v>
      </c>
      <c r="B10" s="17" t="s">
        <v>126</v>
      </c>
      <c r="C10" s="17" t="s">
        <v>125</v>
      </c>
      <c r="D10" s="17" t="s">
        <v>129</v>
      </c>
      <c r="E10" s="18" t="s">
        <v>130</v>
      </c>
      <c r="F10" s="18" t="s">
        <v>41</v>
      </c>
      <c r="G10" s="18" t="s">
        <v>42</v>
      </c>
      <c r="H10" s="18" t="s">
        <v>43</v>
      </c>
    </row>
    <row r="11" spans="1:8" ht="30" customHeight="1" x14ac:dyDescent="0.25">
      <c r="A11" s="12" t="s">
        <v>29</v>
      </c>
      <c r="B11" s="184">
        <v>11596988</v>
      </c>
      <c r="C11" s="188">
        <v>1539185</v>
      </c>
      <c r="D11" s="188">
        <v>14768700</v>
      </c>
      <c r="E11" s="189">
        <f>D11/7.5345</f>
        <v>1960143.3406330878</v>
      </c>
      <c r="F11" s="189">
        <v>1722936</v>
      </c>
      <c r="G11" s="189">
        <v>1722936</v>
      </c>
      <c r="H11" s="189">
        <v>1722406</v>
      </c>
    </row>
    <row r="12" spans="1:8" ht="30" customHeight="1" x14ac:dyDescent="0.25">
      <c r="A12" s="12" t="s">
        <v>119</v>
      </c>
      <c r="B12" s="187">
        <v>11596988</v>
      </c>
      <c r="C12" s="10">
        <v>1539185</v>
      </c>
      <c r="D12" s="188">
        <v>14768700</v>
      </c>
      <c r="E12" s="189">
        <f t="shared" ref="E12:E13" si="0">D12/7.5345</f>
        <v>1960143.3406330878</v>
      </c>
      <c r="F12" s="11">
        <v>1722936</v>
      </c>
      <c r="G12" s="11">
        <v>1722936</v>
      </c>
      <c r="H12" s="11">
        <v>1722406</v>
      </c>
    </row>
    <row r="13" spans="1:8" ht="30" customHeight="1" x14ac:dyDescent="0.25">
      <c r="A13" s="13" t="s">
        <v>120</v>
      </c>
      <c r="B13" s="186">
        <v>11596988</v>
      </c>
      <c r="C13" s="10">
        <v>1539185</v>
      </c>
      <c r="D13" s="188">
        <v>14768700</v>
      </c>
      <c r="E13" s="189">
        <f t="shared" si="0"/>
        <v>1960143.3406330878</v>
      </c>
      <c r="F13" s="11">
        <v>1722936</v>
      </c>
      <c r="G13" s="11">
        <v>1722936</v>
      </c>
      <c r="H13" s="11">
        <v>1722406</v>
      </c>
    </row>
    <row r="14" spans="1:8" x14ac:dyDescent="0.25">
      <c r="A14" s="141" t="s">
        <v>118</v>
      </c>
      <c r="B14" s="141"/>
    </row>
  </sheetData>
  <sheetProtection algorithmName="SHA-512" hashValue="41j5qDfyGJcgDUd8kpPU5NOeXBkQRc5vTc14mSDTyLNA8qxnM91T0JUuwA5iiAlSQGT93y8qjMpCAbrOSkX1kw==" saltValue="hYO9avqnVZzIzSYrBNM1aA==" spinCount="100000" sheet="1" objects="1" scenarios="1"/>
  <mergeCells count="4">
    <mergeCell ref="A2:H2"/>
    <mergeCell ref="A4:H4"/>
    <mergeCell ref="A6:H6"/>
    <mergeCell ref="A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Naslovnica</vt:lpstr>
      <vt:lpstr>SAŽETAK</vt:lpstr>
      <vt:lpstr> Račun prihoda i rashoda</vt:lpstr>
      <vt:lpstr>POSEBNI DIO</vt:lpstr>
      <vt:lpstr>Rashodi prema funkcijskoj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</cp:lastModifiedBy>
  <cp:lastPrinted>2022-10-21T07:43:40Z</cp:lastPrinted>
  <dcterms:created xsi:type="dcterms:W3CDTF">2022-08-12T12:51:27Z</dcterms:created>
  <dcterms:modified xsi:type="dcterms:W3CDTF">2022-12-16T09:07:56Z</dcterms:modified>
</cp:coreProperties>
</file>